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285" windowWidth="17235" windowHeight="6030"/>
  </bookViews>
  <sheets>
    <sheet name="Instructions" sheetId="11" r:id="rId1"/>
    <sheet name="Costing inputs" sheetId="1" r:id="rId2"/>
    <sheet name="Regional splits" sheetId="8" r:id="rId3"/>
    <sheet name="Distances matrix" sheetId="7" r:id="rId4"/>
    <sheet name="Method mix + objectives" sheetId="5" r:id="rId5"/>
    <sheet name="Priority activities" sheetId="10" r:id="rId6"/>
    <sheet name="Database for analysis" sheetId="9" r:id="rId7"/>
    <sheet name="Cost summaries (outputs)" sheetId="6" r:id="rId8"/>
  </sheets>
  <definedNames>
    <definedName name="_xlnm._FilterDatabase" localSheetId="5" hidden="1">'Priority activities'!$B$4:$C$87</definedName>
    <definedName name="Cost_splits">'Regional splits'!$B$15:$B$22</definedName>
    <definedName name="Meeting_level">'Costing inputs'!$E$13:$H$13</definedName>
  </definedNames>
  <calcPr calcId="145621" concurrentCalc="0"/>
  <pivotCaches>
    <pivotCache cacheId="0" r:id="rId9"/>
  </pivotCaches>
</workbook>
</file>

<file path=xl/calcChain.xml><?xml version="1.0" encoding="utf-8"?>
<calcChain xmlns="http://schemas.openxmlformats.org/spreadsheetml/2006/main">
  <c r="I10" i="6" l="1"/>
  <c r="G5" i="6"/>
  <c r="G6" i="6"/>
  <c r="G7" i="6"/>
  <c r="G8" i="6"/>
  <c r="G9" i="6"/>
  <c r="G10" i="6"/>
  <c r="G11" i="6"/>
  <c r="D106" i="6"/>
  <c r="E106" i="6"/>
  <c r="F106" i="6"/>
  <c r="G106" i="6"/>
  <c r="H106" i="6"/>
  <c r="I106" i="6"/>
  <c r="J106" i="6"/>
  <c r="K106" i="6"/>
  <c r="L106" i="6"/>
  <c r="M106" i="6"/>
  <c r="C106" i="6"/>
  <c r="M185" i="1"/>
  <c r="F157" i="1"/>
  <c r="F280" i="1"/>
  <c r="F158" i="1"/>
  <c r="F169" i="1"/>
  <c r="S223" i="1"/>
  <c r="O236" i="1"/>
  <c r="F199" i="1"/>
  <c r="M183" i="1"/>
  <c r="M184" i="1"/>
  <c r="C1219" i="9"/>
  <c r="S284" i="1"/>
  <c r="F285" i="1"/>
  <c r="F284" i="1"/>
  <c r="F262" i="1"/>
  <c r="F263" i="1"/>
  <c r="M195" i="1"/>
  <c r="F195" i="1"/>
  <c r="AL192" i="1"/>
  <c r="AK192" i="1"/>
  <c r="AJ192" i="1"/>
  <c r="AI192" i="1"/>
  <c r="AH192" i="1"/>
  <c r="AG192" i="1"/>
  <c r="AF192" i="1"/>
  <c r="AE192" i="1"/>
  <c r="AD192" i="1"/>
  <c r="AC192" i="1"/>
  <c r="AB192" i="1"/>
  <c r="AA192" i="1"/>
  <c r="Z192" i="1"/>
  <c r="Y192" i="1"/>
  <c r="X192" i="1"/>
  <c r="W192" i="1"/>
  <c r="S192" i="1"/>
  <c r="G23" i="6"/>
  <c r="G24" i="6"/>
  <c r="D115" i="6"/>
  <c r="E115" i="6"/>
  <c r="F115" i="6"/>
  <c r="G115" i="6"/>
  <c r="H115" i="6"/>
  <c r="H127" i="6"/>
  <c r="I115" i="6"/>
  <c r="J115" i="6"/>
  <c r="C115" i="6"/>
  <c r="D126" i="6"/>
  <c r="E126" i="6"/>
  <c r="F126" i="6"/>
  <c r="G126" i="6"/>
  <c r="H126" i="6"/>
  <c r="I126" i="6"/>
  <c r="J126" i="6"/>
  <c r="C126" i="6"/>
  <c r="D127" i="6"/>
  <c r="E127" i="6"/>
  <c r="F127" i="6"/>
  <c r="G127" i="6"/>
  <c r="I127" i="6"/>
  <c r="J127" i="6"/>
  <c r="C127" i="6"/>
  <c r="H21" i="6"/>
  <c r="H18" i="6"/>
  <c r="M280" i="1"/>
  <c r="M78" i="1"/>
  <c r="M59" i="1"/>
  <c r="M300" i="1"/>
  <c r="F28" i="5"/>
  <c r="F43" i="6"/>
  <c r="F42" i="6"/>
  <c r="F41" i="6"/>
  <c r="F40" i="6"/>
  <c r="F39" i="6"/>
  <c r="F32" i="6"/>
  <c r="F35" i="6"/>
  <c r="F30" i="6"/>
  <c r="F31" i="6"/>
  <c r="F33" i="6"/>
  <c r="F34" i="6"/>
  <c r="F36" i="6"/>
  <c r="F45" i="6"/>
  <c r="F46" i="6"/>
  <c r="F37" i="6"/>
  <c r="M113" i="1"/>
  <c r="C1300" i="9"/>
  <c r="D1300" i="9"/>
  <c r="C1301" i="9"/>
  <c r="D1301" i="9"/>
  <c r="C1302" i="9"/>
  <c r="D1302" i="9"/>
  <c r="C1303" i="9"/>
  <c r="D1303" i="9"/>
  <c r="C1304" i="9"/>
  <c r="D1304" i="9"/>
  <c r="C1305" i="9"/>
  <c r="D1305" i="9"/>
  <c r="C1306" i="9"/>
  <c r="D1306" i="9"/>
  <c r="C1307" i="9"/>
  <c r="D1307" i="9"/>
  <c r="C1308" i="9"/>
  <c r="D1308" i="9"/>
  <c r="C1309" i="9"/>
  <c r="D1309" i="9"/>
  <c r="C1310" i="9"/>
  <c r="D1310" i="9"/>
  <c r="C1311" i="9"/>
  <c r="D1311" i="9"/>
  <c r="C1312" i="9"/>
  <c r="D1312" i="9"/>
  <c r="C1313" i="9"/>
  <c r="D1313" i="9"/>
  <c r="C1314" i="9"/>
  <c r="D1314" i="9"/>
  <c r="E1299" i="9"/>
  <c r="D1299" i="9"/>
  <c r="C1299" i="9"/>
  <c r="E1314" i="9"/>
  <c r="E1313" i="9"/>
  <c r="E1312" i="9"/>
  <c r="E1311" i="9"/>
  <c r="E1310" i="9"/>
  <c r="E1309" i="9"/>
  <c r="E1308" i="9"/>
  <c r="E1307" i="9"/>
  <c r="E1306" i="9"/>
  <c r="E1305" i="9"/>
  <c r="E1304" i="9"/>
  <c r="E1303" i="9"/>
  <c r="E1302" i="9"/>
  <c r="E1301" i="9"/>
  <c r="E1300" i="9"/>
  <c r="C13" i="10"/>
  <c r="AL108" i="1"/>
  <c r="M112" i="1"/>
  <c r="S112" i="1"/>
  <c r="F101" i="1"/>
  <c r="F132" i="1"/>
  <c r="S131" i="1"/>
  <c r="M102" i="1"/>
  <c r="M75" i="1"/>
  <c r="E48" i="1"/>
  <c r="F25" i="1"/>
  <c r="F488" i="1"/>
  <c r="F487" i="1"/>
  <c r="O516" i="1"/>
  <c r="O203" i="1"/>
  <c r="H60" i="1"/>
  <c r="H61" i="1"/>
  <c r="H59" i="1"/>
  <c r="I60" i="1"/>
  <c r="G86" i="6"/>
  <c r="G83" i="6"/>
  <c r="C86" i="10"/>
  <c r="C85" i="10"/>
  <c r="C84" i="10"/>
  <c r="C83" i="10"/>
  <c r="C81" i="10"/>
  <c r="C82" i="10"/>
  <c r="C79" i="10"/>
  <c r="C80" i="10"/>
  <c r="C78" i="10"/>
  <c r="C77" i="10"/>
  <c r="C75" i="10"/>
  <c r="C76" i="10"/>
  <c r="C74" i="10"/>
  <c r="C73" i="10"/>
  <c r="C72" i="10"/>
  <c r="C68" i="10"/>
  <c r="C69" i="10"/>
  <c r="C70" i="10"/>
  <c r="C71"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7" i="10"/>
  <c r="C38" i="10"/>
  <c r="C39" i="10"/>
  <c r="C36" i="10"/>
  <c r="C35" i="10"/>
  <c r="C34" i="10"/>
  <c r="C32" i="10"/>
  <c r="C33" i="10"/>
  <c r="C29" i="10"/>
  <c r="C30" i="10"/>
  <c r="C31" i="10"/>
  <c r="C26" i="10"/>
  <c r="C27" i="10"/>
  <c r="C28" i="10"/>
  <c r="C23" i="10"/>
  <c r="C24" i="10"/>
  <c r="C25" i="10"/>
  <c r="C22" i="10"/>
  <c r="C21" i="10"/>
  <c r="C20" i="10"/>
  <c r="C19" i="10"/>
  <c r="C18" i="10"/>
  <c r="C17" i="10"/>
  <c r="C16" i="10"/>
  <c r="C14" i="10"/>
  <c r="C15" i="10"/>
  <c r="C12" i="10"/>
  <c r="C11" i="10"/>
  <c r="C10" i="10"/>
  <c r="C9" i="10"/>
  <c r="C8" i="10"/>
  <c r="C6" i="10"/>
  <c r="C7" i="10"/>
  <c r="C5" i="10"/>
  <c r="AA1300" i="9"/>
  <c r="AA1304" i="9"/>
  <c r="AA1308" i="9"/>
  <c r="AA1312" i="9"/>
  <c r="AA1302" i="9"/>
  <c r="AA1306" i="9"/>
  <c r="AA1310" i="9"/>
  <c r="AA1314" i="9"/>
  <c r="AA1299" i="9"/>
  <c r="AA1307" i="9"/>
  <c r="AA1313" i="9"/>
  <c r="AA1305" i="9"/>
  <c r="AA1311" i="9"/>
  <c r="AA1303" i="9"/>
  <c r="AA1309" i="9"/>
  <c r="AA1301" i="9"/>
  <c r="F290" i="1"/>
  <c r="H85" i="6"/>
  <c r="H86" i="6"/>
  <c r="H82" i="6"/>
  <c r="H83" i="6"/>
  <c r="M505" i="1"/>
  <c r="S505" i="1"/>
  <c r="E82" i="6"/>
  <c r="Q547" i="9"/>
  <c r="R547" i="9"/>
  <c r="S547" i="9"/>
  <c r="T547" i="9"/>
  <c r="U547" i="9"/>
  <c r="V547" i="9"/>
  <c r="W547" i="9"/>
  <c r="X547" i="9"/>
  <c r="Y547" i="9"/>
  <c r="Z547" i="9"/>
  <c r="Q548" i="9"/>
  <c r="R548" i="9"/>
  <c r="S548" i="9"/>
  <c r="T548" i="9"/>
  <c r="U548" i="9"/>
  <c r="V548" i="9"/>
  <c r="W548" i="9"/>
  <c r="X548" i="9"/>
  <c r="Y548" i="9"/>
  <c r="Z548" i="9"/>
  <c r="Q549" i="9"/>
  <c r="R549" i="9"/>
  <c r="S549" i="9"/>
  <c r="T549" i="9"/>
  <c r="U549" i="9"/>
  <c r="V549" i="9"/>
  <c r="W549" i="9"/>
  <c r="X549" i="9"/>
  <c r="Y549" i="9"/>
  <c r="Z549" i="9"/>
  <c r="Q550" i="9"/>
  <c r="R550" i="9"/>
  <c r="S550" i="9"/>
  <c r="T550" i="9"/>
  <c r="U550" i="9"/>
  <c r="V550" i="9"/>
  <c r="W550" i="9"/>
  <c r="X550" i="9"/>
  <c r="Y550" i="9"/>
  <c r="Z550" i="9"/>
  <c r="Q551" i="9"/>
  <c r="R551" i="9"/>
  <c r="S551" i="9"/>
  <c r="T551" i="9"/>
  <c r="U551" i="9"/>
  <c r="V551" i="9"/>
  <c r="W551" i="9"/>
  <c r="X551" i="9"/>
  <c r="Y551" i="9"/>
  <c r="Z551" i="9"/>
  <c r="Q552" i="9"/>
  <c r="R552" i="9"/>
  <c r="S552" i="9"/>
  <c r="T552" i="9"/>
  <c r="U552" i="9"/>
  <c r="V552" i="9"/>
  <c r="W552" i="9"/>
  <c r="X552" i="9"/>
  <c r="Y552" i="9"/>
  <c r="Z552" i="9"/>
  <c r="Q553" i="9"/>
  <c r="R553" i="9"/>
  <c r="S553" i="9"/>
  <c r="T553" i="9"/>
  <c r="U553" i="9"/>
  <c r="V553" i="9"/>
  <c r="W553" i="9"/>
  <c r="X553" i="9"/>
  <c r="Y553" i="9"/>
  <c r="Z553" i="9"/>
  <c r="Q554" i="9"/>
  <c r="R554" i="9"/>
  <c r="S554" i="9"/>
  <c r="T554" i="9"/>
  <c r="U554" i="9"/>
  <c r="V554" i="9"/>
  <c r="W554" i="9"/>
  <c r="X554" i="9"/>
  <c r="Y554" i="9"/>
  <c r="Z554" i="9"/>
  <c r="Q555" i="9"/>
  <c r="R555" i="9"/>
  <c r="S555" i="9"/>
  <c r="T555" i="9"/>
  <c r="U555" i="9"/>
  <c r="V555" i="9"/>
  <c r="W555" i="9"/>
  <c r="X555" i="9"/>
  <c r="Y555" i="9"/>
  <c r="Z555" i="9"/>
  <c r="Q556" i="9"/>
  <c r="R556" i="9"/>
  <c r="S556" i="9"/>
  <c r="T556" i="9"/>
  <c r="U556" i="9"/>
  <c r="V556" i="9"/>
  <c r="W556" i="9"/>
  <c r="X556" i="9"/>
  <c r="Y556" i="9"/>
  <c r="Z556" i="9"/>
  <c r="Q557" i="9"/>
  <c r="R557" i="9"/>
  <c r="S557" i="9"/>
  <c r="T557" i="9"/>
  <c r="U557" i="9"/>
  <c r="V557" i="9"/>
  <c r="W557" i="9"/>
  <c r="X557" i="9"/>
  <c r="Y557" i="9"/>
  <c r="Z557" i="9"/>
  <c r="Q558" i="9"/>
  <c r="R558" i="9"/>
  <c r="S558" i="9"/>
  <c r="T558" i="9"/>
  <c r="U558" i="9"/>
  <c r="V558" i="9"/>
  <c r="W558" i="9"/>
  <c r="X558" i="9"/>
  <c r="Y558" i="9"/>
  <c r="Z558" i="9"/>
  <c r="Q559" i="9"/>
  <c r="R559" i="9"/>
  <c r="S559" i="9"/>
  <c r="T559" i="9"/>
  <c r="U559" i="9"/>
  <c r="V559" i="9"/>
  <c r="W559" i="9"/>
  <c r="X559" i="9"/>
  <c r="Y559" i="9"/>
  <c r="Z559" i="9"/>
  <c r="Q560" i="9"/>
  <c r="R560" i="9"/>
  <c r="S560" i="9"/>
  <c r="T560" i="9"/>
  <c r="U560" i="9"/>
  <c r="V560" i="9"/>
  <c r="W560" i="9"/>
  <c r="X560" i="9"/>
  <c r="Y560" i="9"/>
  <c r="Z560" i="9"/>
  <c r="Q561" i="9"/>
  <c r="R561" i="9"/>
  <c r="S561" i="9"/>
  <c r="T561" i="9"/>
  <c r="U561" i="9"/>
  <c r="V561" i="9"/>
  <c r="W561" i="9"/>
  <c r="X561" i="9"/>
  <c r="Y561" i="9"/>
  <c r="Z561" i="9"/>
  <c r="Q563" i="9"/>
  <c r="R563" i="9"/>
  <c r="S563" i="9"/>
  <c r="T563" i="9"/>
  <c r="U563" i="9"/>
  <c r="V563" i="9"/>
  <c r="W563" i="9"/>
  <c r="X563" i="9"/>
  <c r="Y563" i="9"/>
  <c r="Z563" i="9"/>
  <c r="Q564" i="9"/>
  <c r="R564" i="9"/>
  <c r="S564" i="9"/>
  <c r="T564" i="9"/>
  <c r="U564" i="9"/>
  <c r="V564" i="9"/>
  <c r="W564" i="9"/>
  <c r="X564" i="9"/>
  <c r="Y564" i="9"/>
  <c r="Z564" i="9"/>
  <c r="Q565" i="9"/>
  <c r="R565" i="9"/>
  <c r="S565" i="9"/>
  <c r="T565" i="9"/>
  <c r="U565" i="9"/>
  <c r="V565" i="9"/>
  <c r="W565" i="9"/>
  <c r="X565" i="9"/>
  <c r="Y565" i="9"/>
  <c r="Z565" i="9"/>
  <c r="Q566" i="9"/>
  <c r="R566" i="9"/>
  <c r="S566" i="9"/>
  <c r="T566" i="9"/>
  <c r="U566" i="9"/>
  <c r="V566" i="9"/>
  <c r="W566" i="9"/>
  <c r="X566" i="9"/>
  <c r="Y566" i="9"/>
  <c r="Z566" i="9"/>
  <c r="Q567" i="9"/>
  <c r="R567" i="9"/>
  <c r="S567" i="9"/>
  <c r="T567" i="9"/>
  <c r="U567" i="9"/>
  <c r="V567" i="9"/>
  <c r="W567" i="9"/>
  <c r="X567" i="9"/>
  <c r="Y567" i="9"/>
  <c r="Z567" i="9"/>
  <c r="Q568" i="9"/>
  <c r="R568" i="9"/>
  <c r="S568" i="9"/>
  <c r="T568" i="9"/>
  <c r="U568" i="9"/>
  <c r="V568" i="9"/>
  <c r="W568" i="9"/>
  <c r="X568" i="9"/>
  <c r="Y568" i="9"/>
  <c r="Z568" i="9"/>
  <c r="Q569" i="9"/>
  <c r="R569" i="9"/>
  <c r="S569" i="9"/>
  <c r="T569" i="9"/>
  <c r="U569" i="9"/>
  <c r="V569" i="9"/>
  <c r="W569" i="9"/>
  <c r="X569" i="9"/>
  <c r="Y569" i="9"/>
  <c r="Z569" i="9"/>
  <c r="Q570" i="9"/>
  <c r="R570" i="9"/>
  <c r="S570" i="9"/>
  <c r="T570" i="9"/>
  <c r="U570" i="9"/>
  <c r="V570" i="9"/>
  <c r="W570" i="9"/>
  <c r="X570" i="9"/>
  <c r="Y570" i="9"/>
  <c r="Z570" i="9"/>
  <c r="Q571" i="9"/>
  <c r="R571" i="9"/>
  <c r="S571" i="9"/>
  <c r="T571" i="9"/>
  <c r="U571" i="9"/>
  <c r="V571" i="9"/>
  <c r="W571" i="9"/>
  <c r="X571" i="9"/>
  <c r="Y571" i="9"/>
  <c r="Z571" i="9"/>
  <c r="Q572" i="9"/>
  <c r="R572" i="9"/>
  <c r="S572" i="9"/>
  <c r="T572" i="9"/>
  <c r="U572" i="9"/>
  <c r="V572" i="9"/>
  <c r="W572" i="9"/>
  <c r="X572" i="9"/>
  <c r="Y572" i="9"/>
  <c r="Z572" i="9"/>
  <c r="Q573" i="9"/>
  <c r="R573" i="9"/>
  <c r="S573" i="9"/>
  <c r="T573" i="9"/>
  <c r="U573" i="9"/>
  <c r="V573" i="9"/>
  <c r="W573" i="9"/>
  <c r="X573" i="9"/>
  <c r="Y573" i="9"/>
  <c r="Z573" i="9"/>
  <c r="Q574" i="9"/>
  <c r="R574" i="9"/>
  <c r="S574" i="9"/>
  <c r="T574" i="9"/>
  <c r="U574" i="9"/>
  <c r="V574" i="9"/>
  <c r="W574" i="9"/>
  <c r="X574" i="9"/>
  <c r="Y574" i="9"/>
  <c r="Z574" i="9"/>
  <c r="Q575" i="9"/>
  <c r="R575" i="9"/>
  <c r="S575" i="9"/>
  <c r="T575" i="9"/>
  <c r="U575" i="9"/>
  <c r="V575" i="9"/>
  <c r="W575" i="9"/>
  <c r="X575" i="9"/>
  <c r="Y575" i="9"/>
  <c r="Z575" i="9"/>
  <c r="Q576" i="9"/>
  <c r="R576" i="9"/>
  <c r="S576" i="9"/>
  <c r="T576" i="9"/>
  <c r="U576" i="9"/>
  <c r="V576" i="9"/>
  <c r="W576" i="9"/>
  <c r="X576" i="9"/>
  <c r="Y576" i="9"/>
  <c r="Z576" i="9"/>
  <c r="Q577" i="9"/>
  <c r="R577" i="9"/>
  <c r="S577" i="9"/>
  <c r="T577" i="9"/>
  <c r="U577" i="9"/>
  <c r="V577" i="9"/>
  <c r="W577" i="9"/>
  <c r="X577" i="9"/>
  <c r="Y577" i="9"/>
  <c r="Z577" i="9"/>
  <c r="Q579" i="9"/>
  <c r="R579" i="9"/>
  <c r="S579" i="9"/>
  <c r="T579" i="9"/>
  <c r="U579" i="9"/>
  <c r="V579" i="9"/>
  <c r="W579" i="9"/>
  <c r="X579" i="9"/>
  <c r="Y579" i="9"/>
  <c r="Z579" i="9"/>
  <c r="Q580" i="9"/>
  <c r="R580" i="9"/>
  <c r="S580" i="9"/>
  <c r="T580" i="9"/>
  <c r="U580" i="9"/>
  <c r="V580" i="9"/>
  <c r="W580" i="9"/>
  <c r="X580" i="9"/>
  <c r="Y580" i="9"/>
  <c r="Z580" i="9"/>
  <c r="Q581" i="9"/>
  <c r="R581" i="9"/>
  <c r="S581" i="9"/>
  <c r="T581" i="9"/>
  <c r="U581" i="9"/>
  <c r="V581" i="9"/>
  <c r="W581" i="9"/>
  <c r="X581" i="9"/>
  <c r="Y581" i="9"/>
  <c r="Z581" i="9"/>
  <c r="Q582" i="9"/>
  <c r="R582" i="9"/>
  <c r="S582" i="9"/>
  <c r="T582" i="9"/>
  <c r="U582" i="9"/>
  <c r="V582" i="9"/>
  <c r="W582" i="9"/>
  <c r="X582" i="9"/>
  <c r="Y582" i="9"/>
  <c r="Z582" i="9"/>
  <c r="Q583" i="9"/>
  <c r="R583" i="9"/>
  <c r="S583" i="9"/>
  <c r="T583" i="9"/>
  <c r="U583" i="9"/>
  <c r="V583" i="9"/>
  <c r="W583" i="9"/>
  <c r="X583" i="9"/>
  <c r="Y583" i="9"/>
  <c r="Z583" i="9"/>
  <c r="Q584" i="9"/>
  <c r="R584" i="9"/>
  <c r="S584" i="9"/>
  <c r="T584" i="9"/>
  <c r="U584" i="9"/>
  <c r="V584" i="9"/>
  <c r="W584" i="9"/>
  <c r="X584" i="9"/>
  <c r="Y584" i="9"/>
  <c r="Z584" i="9"/>
  <c r="Q585" i="9"/>
  <c r="R585" i="9"/>
  <c r="S585" i="9"/>
  <c r="T585" i="9"/>
  <c r="U585" i="9"/>
  <c r="V585" i="9"/>
  <c r="W585" i="9"/>
  <c r="X585" i="9"/>
  <c r="Y585" i="9"/>
  <c r="Z585" i="9"/>
  <c r="Q586" i="9"/>
  <c r="R586" i="9"/>
  <c r="S586" i="9"/>
  <c r="T586" i="9"/>
  <c r="U586" i="9"/>
  <c r="V586" i="9"/>
  <c r="W586" i="9"/>
  <c r="X586" i="9"/>
  <c r="Y586" i="9"/>
  <c r="Z586" i="9"/>
  <c r="Q587" i="9"/>
  <c r="R587" i="9"/>
  <c r="S587" i="9"/>
  <c r="T587" i="9"/>
  <c r="U587" i="9"/>
  <c r="V587" i="9"/>
  <c r="W587" i="9"/>
  <c r="X587" i="9"/>
  <c r="Y587" i="9"/>
  <c r="Z587" i="9"/>
  <c r="Q588" i="9"/>
  <c r="R588" i="9"/>
  <c r="S588" i="9"/>
  <c r="T588" i="9"/>
  <c r="U588" i="9"/>
  <c r="V588" i="9"/>
  <c r="W588" i="9"/>
  <c r="X588" i="9"/>
  <c r="Y588" i="9"/>
  <c r="Z588" i="9"/>
  <c r="Q589" i="9"/>
  <c r="R589" i="9"/>
  <c r="S589" i="9"/>
  <c r="T589" i="9"/>
  <c r="U589" i="9"/>
  <c r="V589" i="9"/>
  <c r="W589" i="9"/>
  <c r="X589" i="9"/>
  <c r="Y589" i="9"/>
  <c r="Z589" i="9"/>
  <c r="Q590" i="9"/>
  <c r="R590" i="9"/>
  <c r="S590" i="9"/>
  <c r="T590" i="9"/>
  <c r="U590" i="9"/>
  <c r="V590" i="9"/>
  <c r="W590" i="9"/>
  <c r="X590" i="9"/>
  <c r="Y590" i="9"/>
  <c r="Z590" i="9"/>
  <c r="Q591" i="9"/>
  <c r="R591" i="9"/>
  <c r="S591" i="9"/>
  <c r="T591" i="9"/>
  <c r="U591" i="9"/>
  <c r="V591" i="9"/>
  <c r="W591" i="9"/>
  <c r="X591" i="9"/>
  <c r="Y591" i="9"/>
  <c r="Z591" i="9"/>
  <c r="Q592" i="9"/>
  <c r="R592" i="9"/>
  <c r="S592" i="9"/>
  <c r="T592" i="9"/>
  <c r="U592" i="9"/>
  <c r="V592" i="9"/>
  <c r="W592" i="9"/>
  <c r="X592" i="9"/>
  <c r="Y592" i="9"/>
  <c r="Z592" i="9"/>
  <c r="Q593" i="9"/>
  <c r="R593" i="9"/>
  <c r="S593" i="9"/>
  <c r="T593" i="9"/>
  <c r="U593" i="9"/>
  <c r="V593" i="9"/>
  <c r="W593" i="9"/>
  <c r="X593" i="9"/>
  <c r="Y593" i="9"/>
  <c r="Z593" i="9"/>
  <c r="F82" i="6"/>
  <c r="F11" i="5"/>
  <c r="C1284" i="9"/>
  <c r="AA1284" i="9"/>
  <c r="D1284" i="9"/>
  <c r="C1285" i="9"/>
  <c r="AA1285" i="9"/>
  <c r="D1285" i="9"/>
  <c r="C1286" i="9"/>
  <c r="AA1286" i="9"/>
  <c r="D1286" i="9"/>
  <c r="C1287" i="9"/>
  <c r="AA1287" i="9"/>
  <c r="D1287" i="9"/>
  <c r="C1288" i="9"/>
  <c r="AA1288" i="9"/>
  <c r="D1288" i="9"/>
  <c r="C1289" i="9"/>
  <c r="AA1289" i="9"/>
  <c r="D1289" i="9"/>
  <c r="C1290" i="9"/>
  <c r="AA1290" i="9"/>
  <c r="D1290" i="9"/>
  <c r="C1291" i="9"/>
  <c r="AA1291" i="9"/>
  <c r="D1291" i="9"/>
  <c r="C1292" i="9"/>
  <c r="AA1292" i="9"/>
  <c r="D1292" i="9"/>
  <c r="C1293" i="9"/>
  <c r="AA1293" i="9"/>
  <c r="D1293" i="9"/>
  <c r="C1294" i="9"/>
  <c r="AA1294" i="9"/>
  <c r="D1294" i="9"/>
  <c r="C1295" i="9"/>
  <c r="AA1295" i="9"/>
  <c r="D1295" i="9"/>
  <c r="C1296" i="9"/>
  <c r="AA1296" i="9"/>
  <c r="D1296" i="9"/>
  <c r="C1297" i="9"/>
  <c r="AA1297" i="9"/>
  <c r="D1297" i="9"/>
  <c r="C1298" i="9"/>
  <c r="AA1298" i="9"/>
  <c r="D1298" i="9"/>
  <c r="D1283" i="9"/>
  <c r="C1283" i="9"/>
  <c r="AA1283" i="9"/>
  <c r="E1298" i="9"/>
  <c r="C1268" i="9"/>
  <c r="AA1268" i="9"/>
  <c r="D1268" i="9"/>
  <c r="C1269" i="9"/>
  <c r="AA1269" i="9"/>
  <c r="D1269" i="9"/>
  <c r="C1270" i="9"/>
  <c r="AA1270" i="9"/>
  <c r="D1270" i="9"/>
  <c r="C1271" i="9"/>
  <c r="AA1271" i="9"/>
  <c r="D1271" i="9"/>
  <c r="C1272" i="9"/>
  <c r="AA1272" i="9"/>
  <c r="D1272" i="9"/>
  <c r="C1273" i="9"/>
  <c r="AA1273" i="9"/>
  <c r="D1273" i="9"/>
  <c r="C1274" i="9"/>
  <c r="AA1274" i="9"/>
  <c r="D1274" i="9"/>
  <c r="C1275" i="9"/>
  <c r="AA1275" i="9"/>
  <c r="D1275" i="9"/>
  <c r="C1276" i="9"/>
  <c r="AA1276" i="9"/>
  <c r="D1276" i="9"/>
  <c r="C1277" i="9"/>
  <c r="AA1277" i="9"/>
  <c r="D1277" i="9"/>
  <c r="C1278" i="9"/>
  <c r="AA1278" i="9"/>
  <c r="D1278" i="9"/>
  <c r="C1279" i="9"/>
  <c r="AA1279" i="9"/>
  <c r="D1279" i="9"/>
  <c r="C1280" i="9"/>
  <c r="AA1280" i="9"/>
  <c r="D1280" i="9"/>
  <c r="C1281" i="9"/>
  <c r="AA1281" i="9"/>
  <c r="D1281" i="9"/>
  <c r="C1282" i="9"/>
  <c r="AA1282" i="9"/>
  <c r="D1282" i="9"/>
  <c r="D1267" i="9"/>
  <c r="C1267" i="9"/>
  <c r="AA1267" i="9"/>
  <c r="E1282" i="9"/>
  <c r="C1252" i="9"/>
  <c r="AA1252" i="9"/>
  <c r="D1252" i="9"/>
  <c r="C1253" i="9"/>
  <c r="AA1253" i="9"/>
  <c r="D1253" i="9"/>
  <c r="C1254" i="9"/>
  <c r="AA1254" i="9"/>
  <c r="D1254" i="9"/>
  <c r="C1255" i="9"/>
  <c r="AA1255" i="9"/>
  <c r="D1255" i="9"/>
  <c r="C1256" i="9"/>
  <c r="AA1256" i="9"/>
  <c r="D1256" i="9"/>
  <c r="C1257" i="9"/>
  <c r="AA1257" i="9"/>
  <c r="D1257" i="9"/>
  <c r="C1258" i="9"/>
  <c r="AA1258" i="9"/>
  <c r="D1258" i="9"/>
  <c r="C1259" i="9"/>
  <c r="AA1259" i="9"/>
  <c r="D1259" i="9"/>
  <c r="C1260" i="9"/>
  <c r="AA1260" i="9"/>
  <c r="D1260" i="9"/>
  <c r="C1261" i="9"/>
  <c r="AA1261" i="9"/>
  <c r="D1261" i="9"/>
  <c r="C1262" i="9"/>
  <c r="AA1262" i="9"/>
  <c r="D1262" i="9"/>
  <c r="C1263" i="9"/>
  <c r="AA1263" i="9"/>
  <c r="D1263" i="9"/>
  <c r="C1264" i="9"/>
  <c r="AA1264" i="9"/>
  <c r="D1264" i="9"/>
  <c r="C1265" i="9"/>
  <c r="AA1265" i="9"/>
  <c r="D1265" i="9"/>
  <c r="C1266" i="9"/>
  <c r="AA1266" i="9"/>
  <c r="D1266" i="9"/>
  <c r="D1251" i="9"/>
  <c r="C1251" i="9"/>
  <c r="AA1251" i="9"/>
  <c r="E1266" i="9"/>
  <c r="C1236" i="9"/>
  <c r="AA1236" i="9"/>
  <c r="D1236" i="9"/>
  <c r="C1237" i="9"/>
  <c r="AA1237" i="9"/>
  <c r="D1237" i="9"/>
  <c r="C1238" i="9"/>
  <c r="AA1238" i="9"/>
  <c r="D1238" i="9"/>
  <c r="C1239" i="9"/>
  <c r="AA1239" i="9"/>
  <c r="D1239" i="9"/>
  <c r="C1240" i="9"/>
  <c r="AA1240" i="9"/>
  <c r="D1240" i="9"/>
  <c r="C1241" i="9"/>
  <c r="AA1241" i="9"/>
  <c r="D1241" i="9"/>
  <c r="C1242" i="9"/>
  <c r="AA1242" i="9"/>
  <c r="D1242" i="9"/>
  <c r="C1243" i="9"/>
  <c r="AA1243" i="9"/>
  <c r="D1243" i="9"/>
  <c r="C1244" i="9"/>
  <c r="AA1244" i="9"/>
  <c r="D1244" i="9"/>
  <c r="C1245" i="9"/>
  <c r="AA1245" i="9"/>
  <c r="D1245" i="9"/>
  <c r="C1246" i="9"/>
  <c r="AA1246" i="9"/>
  <c r="D1246" i="9"/>
  <c r="C1247" i="9"/>
  <c r="AA1247" i="9"/>
  <c r="D1247" i="9"/>
  <c r="C1248" i="9"/>
  <c r="AA1248" i="9"/>
  <c r="D1248" i="9"/>
  <c r="C1249" i="9"/>
  <c r="AA1249" i="9"/>
  <c r="D1249" i="9"/>
  <c r="C1250" i="9"/>
  <c r="AA1250" i="9"/>
  <c r="D1250" i="9"/>
  <c r="D1235" i="9"/>
  <c r="C1235" i="9"/>
  <c r="AA1235" i="9"/>
  <c r="E1250" i="9"/>
  <c r="C1220" i="9"/>
  <c r="AA1220" i="9"/>
  <c r="D1220" i="9"/>
  <c r="C1221" i="9"/>
  <c r="AA1221" i="9"/>
  <c r="D1221" i="9"/>
  <c r="C1222" i="9"/>
  <c r="AA1222" i="9"/>
  <c r="D1222" i="9"/>
  <c r="C1223" i="9"/>
  <c r="AA1223" i="9"/>
  <c r="D1223" i="9"/>
  <c r="C1224" i="9"/>
  <c r="AA1224" i="9"/>
  <c r="D1224" i="9"/>
  <c r="C1225" i="9"/>
  <c r="AA1225" i="9"/>
  <c r="D1225" i="9"/>
  <c r="C1226" i="9"/>
  <c r="AA1226" i="9"/>
  <c r="D1226" i="9"/>
  <c r="C1227" i="9"/>
  <c r="AA1227" i="9"/>
  <c r="D1227" i="9"/>
  <c r="C1228" i="9"/>
  <c r="AA1228" i="9"/>
  <c r="D1228" i="9"/>
  <c r="C1229" i="9"/>
  <c r="AA1229" i="9"/>
  <c r="D1229" i="9"/>
  <c r="C1230" i="9"/>
  <c r="AA1230" i="9"/>
  <c r="D1230" i="9"/>
  <c r="C1231" i="9"/>
  <c r="AA1231" i="9"/>
  <c r="D1231" i="9"/>
  <c r="C1232" i="9"/>
  <c r="AA1232" i="9"/>
  <c r="D1232" i="9"/>
  <c r="C1233" i="9"/>
  <c r="AA1233" i="9"/>
  <c r="D1233" i="9"/>
  <c r="C1234" i="9"/>
  <c r="AA1234" i="9"/>
  <c r="D1234" i="9"/>
  <c r="D1219" i="9"/>
  <c r="AA1219" i="9"/>
  <c r="E1234" i="9"/>
  <c r="C1204" i="9"/>
  <c r="AA1204" i="9"/>
  <c r="D1204" i="9"/>
  <c r="C1205" i="9"/>
  <c r="AA1205" i="9"/>
  <c r="D1205" i="9"/>
  <c r="C1206" i="9"/>
  <c r="AA1206" i="9"/>
  <c r="D1206" i="9"/>
  <c r="C1207" i="9"/>
  <c r="AA1207" i="9"/>
  <c r="D1207" i="9"/>
  <c r="C1208" i="9"/>
  <c r="AA1208" i="9"/>
  <c r="D1208" i="9"/>
  <c r="C1209" i="9"/>
  <c r="AA1209" i="9"/>
  <c r="D1209" i="9"/>
  <c r="C1210" i="9"/>
  <c r="AA1210" i="9"/>
  <c r="D1210" i="9"/>
  <c r="C1211" i="9"/>
  <c r="AA1211" i="9"/>
  <c r="D1211" i="9"/>
  <c r="C1212" i="9"/>
  <c r="AA1212" i="9"/>
  <c r="D1212" i="9"/>
  <c r="C1213" i="9"/>
  <c r="AA1213" i="9"/>
  <c r="D1213" i="9"/>
  <c r="C1214" i="9"/>
  <c r="AA1214" i="9"/>
  <c r="D1214" i="9"/>
  <c r="C1215" i="9"/>
  <c r="AA1215" i="9"/>
  <c r="D1215" i="9"/>
  <c r="C1216" i="9"/>
  <c r="AA1216" i="9"/>
  <c r="D1216" i="9"/>
  <c r="C1217" i="9"/>
  <c r="AA1217" i="9"/>
  <c r="D1217" i="9"/>
  <c r="C1218" i="9"/>
  <c r="AA1218" i="9"/>
  <c r="D1218" i="9"/>
  <c r="D1203" i="9"/>
  <c r="C1203" i="9"/>
  <c r="AA1203" i="9"/>
  <c r="E1218" i="9"/>
  <c r="C1188" i="9"/>
  <c r="AA1188" i="9"/>
  <c r="D1188" i="9"/>
  <c r="C1189" i="9"/>
  <c r="AA1189" i="9"/>
  <c r="D1189" i="9"/>
  <c r="C1190" i="9"/>
  <c r="AA1190" i="9"/>
  <c r="D1190" i="9"/>
  <c r="C1191" i="9"/>
  <c r="AA1191" i="9"/>
  <c r="D1191" i="9"/>
  <c r="C1192" i="9"/>
  <c r="AA1192" i="9"/>
  <c r="D1192" i="9"/>
  <c r="C1193" i="9"/>
  <c r="AA1193" i="9"/>
  <c r="D1193" i="9"/>
  <c r="C1194" i="9"/>
  <c r="AA1194" i="9"/>
  <c r="D1194" i="9"/>
  <c r="C1195" i="9"/>
  <c r="AA1195" i="9"/>
  <c r="D1195" i="9"/>
  <c r="C1196" i="9"/>
  <c r="AA1196" i="9"/>
  <c r="D1196" i="9"/>
  <c r="C1197" i="9"/>
  <c r="AA1197" i="9"/>
  <c r="D1197" i="9"/>
  <c r="C1198" i="9"/>
  <c r="AA1198" i="9"/>
  <c r="D1198" i="9"/>
  <c r="C1199" i="9"/>
  <c r="AA1199" i="9"/>
  <c r="D1199" i="9"/>
  <c r="C1200" i="9"/>
  <c r="AA1200" i="9"/>
  <c r="D1200" i="9"/>
  <c r="C1201" i="9"/>
  <c r="AA1201" i="9"/>
  <c r="D1201" i="9"/>
  <c r="C1202" i="9"/>
  <c r="AA1202" i="9"/>
  <c r="D1202" i="9"/>
  <c r="D1187" i="9"/>
  <c r="C1187" i="9"/>
  <c r="AA1187" i="9"/>
  <c r="E1202" i="9"/>
  <c r="AL273" i="1"/>
  <c r="AK273" i="1"/>
  <c r="AJ273" i="1"/>
  <c r="AI273" i="1"/>
  <c r="AH273" i="1"/>
  <c r="AG273" i="1"/>
  <c r="AF273" i="1"/>
  <c r="AE273" i="1"/>
  <c r="AD273" i="1"/>
  <c r="AC273" i="1"/>
  <c r="AB273" i="1"/>
  <c r="AA273" i="1"/>
  <c r="Z273" i="1"/>
  <c r="Y273" i="1"/>
  <c r="X273" i="1"/>
  <c r="W273" i="1"/>
  <c r="AL269" i="1"/>
  <c r="AK269" i="1"/>
  <c r="AJ269" i="1"/>
  <c r="AI269" i="1"/>
  <c r="AH269" i="1"/>
  <c r="AG269" i="1"/>
  <c r="AF269" i="1"/>
  <c r="AE269" i="1"/>
  <c r="AD269" i="1"/>
  <c r="AC269" i="1"/>
  <c r="AB269" i="1"/>
  <c r="AA269" i="1"/>
  <c r="Z269" i="1"/>
  <c r="Y269" i="1"/>
  <c r="X269" i="1"/>
  <c r="W269" i="1"/>
  <c r="F255" i="1"/>
  <c r="F256" i="1"/>
  <c r="AL249" i="1"/>
  <c r="AL284" i="1"/>
  <c r="AK284" i="1"/>
  <c r="AJ284" i="1"/>
  <c r="AI284" i="1"/>
  <c r="AH284" i="1"/>
  <c r="AG284" i="1"/>
  <c r="AF284" i="1"/>
  <c r="AE284" i="1"/>
  <c r="AD284" i="1"/>
  <c r="AC284" i="1"/>
  <c r="AB284" i="1"/>
  <c r="AA284" i="1"/>
  <c r="Z284" i="1"/>
  <c r="Y284" i="1"/>
  <c r="X284" i="1"/>
  <c r="W284" i="1"/>
  <c r="AL282" i="1"/>
  <c r="AL265" i="1"/>
  <c r="AL262" i="1"/>
  <c r="C1172" i="9"/>
  <c r="AA1172" i="9"/>
  <c r="D1172" i="9"/>
  <c r="C1173" i="9"/>
  <c r="AA1173" i="9"/>
  <c r="D1173" i="9"/>
  <c r="C1174" i="9"/>
  <c r="AA1174" i="9"/>
  <c r="D1174" i="9"/>
  <c r="C1175" i="9"/>
  <c r="AA1175" i="9"/>
  <c r="D1175" i="9"/>
  <c r="C1176" i="9"/>
  <c r="AA1176" i="9"/>
  <c r="D1176" i="9"/>
  <c r="C1177" i="9"/>
  <c r="AA1177" i="9"/>
  <c r="D1177" i="9"/>
  <c r="C1178" i="9"/>
  <c r="AA1178" i="9"/>
  <c r="D1178" i="9"/>
  <c r="C1179" i="9"/>
  <c r="AA1179" i="9"/>
  <c r="D1179" i="9"/>
  <c r="C1180" i="9"/>
  <c r="AA1180" i="9"/>
  <c r="D1180" i="9"/>
  <c r="C1181" i="9"/>
  <c r="AA1181" i="9"/>
  <c r="D1181" i="9"/>
  <c r="C1182" i="9"/>
  <c r="AA1182" i="9"/>
  <c r="D1182" i="9"/>
  <c r="C1183" i="9"/>
  <c r="AA1183" i="9"/>
  <c r="D1183" i="9"/>
  <c r="C1184" i="9"/>
  <c r="AA1184" i="9"/>
  <c r="D1184" i="9"/>
  <c r="C1185" i="9"/>
  <c r="AA1185" i="9"/>
  <c r="D1185" i="9"/>
  <c r="C1186" i="9"/>
  <c r="AA1186" i="9"/>
  <c r="D1186" i="9"/>
  <c r="D1171" i="9"/>
  <c r="C1171" i="9"/>
  <c r="AA1171" i="9"/>
  <c r="E1186" i="9"/>
  <c r="C1156" i="9"/>
  <c r="AA1156" i="9"/>
  <c r="D1156" i="9"/>
  <c r="C1157" i="9"/>
  <c r="AA1157" i="9"/>
  <c r="D1157" i="9"/>
  <c r="C1158" i="9"/>
  <c r="AA1158" i="9"/>
  <c r="D1158" i="9"/>
  <c r="C1159" i="9"/>
  <c r="AA1159" i="9"/>
  <c r="D1159" i="9"/>
  <c r="C1160" i="9"/>
  <c r="AA1160" i="9"/>
  <c r="D1160" i="9"/>
  <c r="C1161" i="9"/>
  <c r="AA1161" i="9"/>
  <c r="D1161" i="9"/>
  <c r="C1162" i="9"/>
  <c r="AA1162" i="9"/>
  <c r="D1162" i="9"/>
  <c r="C1163" i="9"/>
  <c r="AA1163" i="9"/>
  <c r="D1163" i="9"/>
  <c r="C1164" i="9"/>
  <c r="AA1164" i="9"/>
  <c r="D1164" i="9"/>
  <c r="C1165" i="9"/>
  <c r="AA1165" i="9"/>
  <c r="D1165" i="9"/>
  <c r="C1166" i="9"/>
  <c r="AA1166" i="9"/>
  <c r="D1166" i="9"/>
  <c r="C1167" i="9"/>
  <c r="AA1167" i="9"/>
  <c r="D1167" i="9"/>
  <c r="C1168" i="9"/>
  <c r="AA1168" i="9"/>
  <c r="D1168" i="9"/>
  <c r="C1169" i="9"/>
  <c r="AA1169" i="9"/>
  <c r="D1169" i="9"/>
  <c r="C1170" i="9"/>
  <c r="AA1170" i="9"/>
  <c r="D1170" i="9"/>
  <c r="D1155" i="9"/>
  <c r="C1155" i="9"/>
  <c r="AA1155" i="9"/>
  <c r="E1170" i="9"/>
  <c r="C1140" i="9"/>
  <c r="AA1140" i="9"/>
  <c r="D1140" i="9"/>
  <c r="C1141" i="9"/>
  <c r="AA1141" i="9"/>
  <c r="D1141" i="9"/>
  <c r="C1142" i="9"/>
  <c r="AA1142" i="9"/>
  <c r="D1142" i="9"/>
  <c r="C1143" i="9"/>
  <c r="AA1143" i="9"/>
  <c r="D1143" i="9"/>
  <c r="C1144" i="9"/>
  <c r="AA1144" i="9"/>
  <c r="D1144" i="9"/>
  <c r="C1145" i="9"/>
  <c r="AA1145" i="9"/>
  <c r="D1145" i="9"/>
  <c r="C1146" i="9"/>
  <c r="AA1146" i="9"/>
  <c r="D1146" i="9"/>
  <c r="C1147" i="9"/>
  <c r="AA1147" i="9"/>
  <c r="D1147" i="9"/>
  <c r="C1148" i="9"/>
  <c r="AA1148" i="9"/>
  <c r="D1148" i="9"/>
  <c r="C1149" i="9"/>
  <c r="AA1149" i="9"/>
  <c r="D1149" i="9"/>
  <c r="C1150" i="9"/>
  <c r="AA1150" i="9"/>
  <c r="D1150" i="9"/>
  <c r="C1151" i="9"/>
  <c r="AA1151" i="9"/>
  <c r="D1151" i="9"/>
  <c r="C1152" i="9"/>
  <c r="AA1152" i="9"/>
  <c r="D1152" i="9"/>
  <c r="C1153" i="9"/>
  <c r="AA1153" i="9"/>
  <c r="D1153" i="9"/>
  <c r="C1154" i="9"/>
  <c r="AA1154" i="9"/>
  <c r="D1154" i="9"/>
  <c r="D1139" i="9"/>
  <c r="C1139" i="9"/>
  <c r="AA1139" i="9"/>
  <c r="E1154" i="9"/>
  <c r="C1124" i="9"/>
  <c r="AA1124" i="9"/>
  <c r="D1124" i="9"/>
  <c r="C1125" i="9"/>
  <c r="AA1125" i="9"/>
  <c r="D1125" i="9"/>
  <c r="C1126" i="9"/>
  <c r="AA1126" i="9"/>
  <c r="D1126" i="9"/>
  <c r="C1127" i="9"/>
  <c r="AA1127" i="9"/>
  <c r="D1127" i="9"/>
  <c r="C1128" i="9"/>
  <c r="AA1128" i="9"/>
  <c r="D1128" i="9"/>
  <c r="C1129" i="9"/>
  <c r="AA1129" i="9"/>
  <c r="D1129" i="9"/>
  <c r="C1130" i="9"/>
  <c r="AA1130" i="9"/>
  <c r="D1130" i="9"/>
  <c r="C1131" i="9"/>
  <c r="AA1131" i="9"/>
  <c r="D1131" i="9"/>
  <c r="C1132" i="9"/>
  <c r="AA1132" i="9"/>
  <c r="D1132" i="9"/>
  <c r="C1133" i="9"/>
  <c r="AA1133" i="9"/>
  <c r="D1133" i="9"/>
  <c r="C1134" i="9"/>
  <c r="AA1134" i="9"/>
  <c r="D1134" i="9"/>
  <c r="C1135" i="9"/>
  <c r="AA1135" i="9"/>
  <c r="D1135" i="9"/>
  <c r="C1136" i="9"/>
  <c r="AA1136" i="9"/>
  <c r="D1136" i="9"/>
  <c r="C1137" i="9"/>
  <c r="AA1137" i="9"/>
  <c r="D1137" i="9"/>
  <c r="C1138" i="9"/>
  <c r="AA1138" i="9"/>
  <c r="D1138" i="9"/>
  <c r="D1123" i="9"/>
  <c r="C1123" i="9"/>
  <c r="AA1123" i="9"/>
  <c r="E1138" i="9"/>
  <c r="S514" i="1"/>
  <c r="F512" i="1"/>
  <c r="AL520" i="1"/>
  <c r="M520" i="1"/>
  <c r="S520" i="1"/>
  <c r="AL516" i="1"/>
  <c r="AL514" i="1"/>
  <c r="AL511" i="1"/>
  <c r="F430" i="1"/>
  <c r="F427" i="1"/>
  <c r="F424" i="1"/>
  <c r="F421" i="1"/>
  <c r="F418" i="1"/>
  <c r="M507" i="1"/>
  <c r="F476" i="1"/>
  <c r="F477" i="1"/>
  <c r="F479" i="1"/>
  <c r="F478" i="1"/>
  <c r="J6" i="7"/>
  <c r="K6" i="7"/>
  <c r="L6" i="7"/>
  <c r="M6" i="7"/>
  <c r="I6" i="7"/>
  <c r="H6" i="7"/>
  <c r="G6" i="7"/>
  <c r="F6" i="7"/>
  <c r="E6" i="7"/>
  <c r="D6" i="7"/>
  <c r="S370" i="1"/>
  <c r="F198" i="1"/>
  <c r="H25" i="1"/>
  <c r="G25" i="1"/>
  <c r="E25" i="1"/>
  <c r="F300" i="1"/>
  <c r="F301" i="1"/>
  <c r="S242" i="1"/>
  <c r="F190" i="1"/>
  <c r="AN210" i="1"/>
  <c r="F212" i="1"/>
  <c r="F211" i="1"/>
  <c r="M153" i="1"/>
  <c r="O175" i="1"/>
  <c r="M180" i="1"/>
  <c r="O181" i="1"/>
  <c r="M169" i="1"/>
  <c r="Q19" i="8"/>
  <c r="P19" i="8"/>
  <c r="O19" i="8"/>
  <c r="N19" i="8"/>
  <c r="M19" i="8"/>
  <c r="D8" i="8"/>
  <c r="E8" i="8"/>
  <c r="F8" i="8"/>
  <c r="G8" i="8"/>
  <c r="H8" i="8"/>
  <c r="I8" i="8"/>
  <c r="J8" i="8"/>
  <c r="K8" i="8"/>
  <c r="L8" i="8"/>
  <c r="C8" i="8"/>
  <c r="AI262" i="1"/>
  <c r="AI282" i="1"/>
  <c r="AJ262" i="1"/>
  <c r="AJ282" i="1"/>
  <c r="AG262" i="1"/>
  <c r="AG282" i="1"/>
  <c r="AK262" i="1"/>
  <c r="AK282" i="1"/>
  <c r="AH262" i="1"/>
  <c r="AH282" i="1"/>
  <c r="R8" i="8"/>
  <c r="J19" i="8"/>
  <c r="O256" i="1"/>
  <c r="M512" i="1"/>
  <c r="O263" i="1"/>
  <c r="I19" i="8"/>
  <c r="E19" i="8"/>
  <c r="L19" i="8"/>
  <c r="H19" i="8"/>
  <c r="D19" i="8"/>
  <c r="K19" i="8"/>
  <c r="C19" i="8"/>
  <c r="G19" i="8"/>
  <c r="O232" i="1"/>
  <c r="F19" i="8"/>
  <c r="F299" i="1"/>
  <c r="I64" i="1"/>
  <c r="I62" i="1"/>
  <c r="I63" i="1"/>
  <c r="AA262" i="1"/>
  <c r="AA282" i="1"/>
  <c r="W262" i="1"/>
  <c r="W282" i="1"/>
  <c r="Z262" i="1"/>
  <c r="Z282" i="1"/>
  <c r="AE262" i="1"/>
  <c r="AE282" i="1"/>
  <c r="X262" i="1"/>
  <c r="X282" i="1"/>
  <c r="AC262" i="1"/>
  <c r="AC282" i="1"/>
  <c r="AD262" i="1"/>
  <c r="AD282" i="1"/>
  <c r="AB262" i="1"/>
  <c r="AB282" i="1"/>
  <c r="AF262" i="1"/>
  <c r="AF282" i="1"/>
  <c r="Y262" i="1"/>
  <c r="Y282" i="1"/>
  <c r="F298" i="1"/>
  <c r="F296" i="1"/>
  <c r="F294" i="1"/>
  <c r="F293" i="1"/>
  <c r="F292" i="1"/>
  <c r="F291" i="1"/>
  <c r="F289" i="1"/>
  <c r="F295" i="1"/>
  <c r="F230" i="1"/>
  <c r="M164" i="1"/>
  <c r="M158" i="1"/>
  <c r="F429" i="1"/>
  <c r="F428" i="1"/>
  <c r="F426" i="1"/>
  <c r="F425" i="1"/>
  <c r="F423" i="1"/>
  <c r="F422" i="1"/>
  <c r="F420" i="1"/>
  <c r="F419" i="1"/>
  <c r="F417" i="1"/>
  <c r="N63" i="1"/>
  <c r="P61" i="1"/>
  <c r="P59" i="1"/>
  <c r="F499" i="1"/>
  <c r="F454" i="1"/>
  <c r="F228" i="1"/>
  <c r="F226" i="1"/>
  <c r="F225" i="1"/>
  <c r="S187" i="1"/>
  <c r="F491" i="1"/>
  <c r="F338" i="1"/>
  <c r="F337" i="1"/>
  <c r="F184" i="1"/>
  <c r="F183" i="1"/>
  <c r="S183" i="1"/>
  <c r="E31" i="1"/>
  <c r="G23" i="1"/>
  <c r="F23" i="1"/>
  <c r="S262" i="1"/>
  <c r="F170" i="1"/>
  <c r="F175" i="1"/>
  <c r="F208" i="1"/>
  <c r="F415" i="1"/>
  <c r="F181" i="1"/>
  <c r="R7" i="8"/>
  <c r="R9" i="8"/>
  <c r="R10" i="8"/>
  <c r="R11" i="8"/>
  <c r="M427" i="1"/>
  <c r="R6" i="8"/>
  <c r="F60" i="5"/>
  <c r="S9" i="5"/>
  <c r="M424" i="1"/>
  <c r="O430" i="1"/>
  <c r="O440" i="1"/>
  <c r="M254" i="1"/>
  <c r="O424" i="1"/>
  <c r="O427" i="1"/>
  <c r="M421" i="1"/>
  <c r="M511" i="1"/>
  <c r="S511" i="1"/>
  <c r="O231" i="1"/>
  <c r="O227" i="1"/>
  <c r="O224" i="1"/>
  <c r="O230" i="1"/>
  <c r="O223" i="1"/>
  <c r="O229" i="1"/>
  <c r="O226" i="1"/>
  <c r="O228" i="1"/>
  <c r="O225" i="1"/>
  <c r="M338" i="1"/>
  <c r="S337" i="1"/>
  <c r="O333" i="1"/>
  <c r="M201" i="1"/>
  <c r="M200" i="1"/>
  <c r="S198" i="1"/>
  <c r="M73" i="1"/>
  <c r="S70" i="1"/>
  <c r="M95" i="1"/>
  <c r="M97" i="1"/>
  <c r="M99" i="1"/>
  <c r="M100" i="1"/>
  <c r="P547" i="9"/>
  <c r="P548" i="9"/>
  <c r="P549" i="9"/>
  <c r="P550" i="9"/>
  <c r="P551" i="9"/>
  <c r="P552" i="9"/>
  <c r="P553" i="9"/>
  <c r="P554" i="9"/>
  <c r="P555" i="9"/>
  <c r="P556" i="9"/>
  <c r="P557" i="9"/>
  <c r="P558" i="9"/>
  <c r="P559" i="9"/>
  <c r="P560" i="9"/>
  <c r="P561" i="9"/>
  <c r="P563" i="9"/>
  <c r="P564" i="9"/>
  <c r="P565" i="9"/>
  <c r="P566" i="9"/>
  <c r="P567" i="9"/>
  <c r="P568" i="9"/>
  <c r="P569" i="9"/>
  <c r="P570" i="9"/>
  <c r="P571" i="9"/>
  <c r="P572" i="9"/>
  <c r="P573" i="9"/>
  <c r="P574" i="9"/>
  <c r="P575" i="9"/>
  <c r="P576" i="9"/>
  <c r="P577" i="9"/>
  <c r="P579" i="9"/>
  <c r="P580" i="9"/>
  <c r="P581" i="9"/>
  <c r="P582" i="9"/>
  <c r="P583" i="9"/>
  <c r="P584" i="9"/>
  <c r="P585" i="9"/>
  <c r="P586" i="9"/>
  <c r="P587" i="9"/>
  <c r="P588" i="9"/>
  <c r="P589" i="9"/>
  <c r="P590" i="9"/>
  <c r="P591" i="9"/>
  <c r="P592" i="9"/>
  <c r="P593" i="9"/>
  <c r="S25" i="5"/>
  <c r="S95" i="1"/>
  <c r="S417" i="1"/>
  <c r="F297" i="1"/>
  <c r="F89" i="5"/>
  <c r="F90" i="5"/>
  <c r="F91" i="5"/>
  <c r="F88" i="5"/>
  <c r="S39" i="5"/>
  <c r="F39" i="5"/>
  <c r="F25" i="5"/>
  <c r="F9" i="5"/>
  <c r="F10" i="5"/>
  <c r="G7" i="5"/>
  <c r="G6" i="5"/>
  <c r="F180" i="1"/>
  <c r="G9" i="5"/>
  <c r="G10" i="5"/>
  <c r="G11" i="5"/>
  <c r="H6" i="5"/>
  <c r="F47" i="5"/>
  <c r="F45" i="5"/>
  <c r="F62" i="5"/>
  <c r="F79" i="5"/>
  <c r="F46" i="5"/>
  <c r="F43" i="5"/>
  <c r="F50" i="5"/>
  <c r="F51" i="5"/>
  <c r="F49" i="5"/>
  <c r="F44" i="5"/>
  <c r="F68" i="5"/>
  <c r="F48" i="5"/>
  <c r="F67" i="5"/>
  <c r="H7" i="5"/>
  <c r="I6" i="5"/>
  <c r="F85" i="5"/>
  <c r="F84" i="5"/>
  <c r="F61" i="5"/>
  <c r="F63" i="5"/>
  <c r="F80" i="5"/>
  <c r="F65" i="5"/>
  <c r="F82" i="5"/>
  <c r="F66" i="5"/>
  <c r="F83" i="5"/>
  <c r="F77" i="5"/>
  <c r="F64" i="5"/>
  <c r="F81" i="5"/>
  <c r="I7" i="5"/>
  <c r="H9" i="5"/>
  <c r="H10" i="5"/>
  <c r="H11" i="5"/>
  <c r="F78" i="5"/>
  <c r="F98" i="5"/>
  <c r="I10" i="5"/>
  <c r="I11" i="5"/>
  <c r="J6" i="5"/>
  <c r="J7" i="5"/>
  <c r="I9" i="5"/>
  <c r="F102" i="5"/>
  <c r="F95" i="5"/>
  <c r="F103" i="5"/>
  <c r="F105" i="5"/>
  <c r="F100" i="5"/>
  <c r="F104" i="5"/>
  <c r="F101" i="5"/>
  <c r="F106" i="5"/>
  <c r="F99" i="5"/>
  <c r="K6" i="5"/>
  <c r="K7" i="5"/>
  <c r="J9" i="5"/>
  <c r="J10" i="5"/>
  <c r="J11" i="5"/>
  <c r="L6" i="5"/>
  <c r="L7" i="5"/>
  <c r="K9" i="5"/>
  <c r="K10" i="5"/>
  <c r="K11" i="5"/>
  <c r="M6" i="5"/>
  <c r="M7" i="5"/>
  <c r="L9" i="5"/>
  <c r="L10" i="5"/>
  <c r="L11" i="5"/>
  <c r="N6" i="5"/>
  <c r="N7" i="5"/>
  <c r="M9" i="5"/>
  <c r="N10" i="5"/>
  <c r="N11" i="5"/>
  <c r="M10" i="5"/>
  <c r="M11" i="5"/>
  <c r="O6" i="5"/>
  <c r="O7" i="5"/>
  <c r="N9" i="5"/>
  <c r="P6" i="5"/>
  <c r="P7" i="5"/>
  <c r="O9" i="5"/>
  <c r="O10" i="5"/>
  <c r="O11" i="5"/>
  <c r="P9" i="5"/>
  <c r="P10" i="5"/>
  <c r="P11" i="5"/>
  <c r="C1108" i="9"/>
  <c r="AA1108" i="9"/>
  <c r="D1108" i="9"/>
  <c r="C1109" i="9"/>
  <c r="AA1109" i="9"/>
  <c r="D1109" i="9"/>
  <c r="C1110" i="9"/>
  <c r="AA1110" i="9"/>
  <c r="D1110" i="9"/>
  <c r="C1111" i="9"/>
  <c r="AA1111" i="9"/>
  <c r="D1111" i="9"/>
  <c r="C1112" i="9"/>
  <c r="AA1112" i="9"/>
  <c r="D1112" i="9"/>
  <c r="C1113" i="9"/>
  <c r="AA1113" i="9"/>
  <c r="D1113" i="9"/>
  <c r="C1114" i="9"/>
  <c r="AA1114" i="9"/>
  <c r="D1114" i="9"/>
  <c r="C1115" i="9"/>
  <c r="AA1115" i="9"/>
  <c r="D1115" i="9"/>
  <c r="C1116" i="9"/>
  <c r="AA1116" i="9"/>
  <c r="D1116" i="9"/>
  <c r="C1117" i="9"/>
  <c r="AA1117" i="9"/>
  <c r="D1117" i="9"/>
  <c r="C1118" i="9"/>
  <c r="AA1118" i="9"/>
  <c r="D1118" i="9"/>
  <c r="C1119" i="9"/>
  <c r="AA1119" i="9"/>
  <c r="D1119" i="9"/>
  <c r="C1120" i="9"/>
  <c r="AA1120" i="9"/>
  <c r="D1120" i="9"/>
  <c r="C1121" i="9"/>
  <c r="AA1121" i="9"/>
  <c r="D1121" i="9"/>
  <c r="C1122" i="9"/>
  <c r="AA1122" i="9"/>
  <c r="D1122" i="9"/>
  <c r="D1107" i="9"/>
  <c r="C1107" i="9"/>
  <c r="AA1107" i="9"/>
  <c r="E1122" i="9"/>
  <c r="C1092" i="9"/>
  <c r="AA1092" i="9"/>
  <c r="D1092" i="9"/>
  <c r="C1093" i="9"/>
  <c r="AA1093" i="9"/>
  <c r="D1093" i="9"/>
  <c r="C1094" i="9"/>
  <c r="AA1094" i="9"/>
  <c r="D1094" i="9"/>
  <c r="C1095" i="9"/>
  <c r="AA1095" i="9"/>
  <c r="D1095" i="9"/>
  <c r="C1096" i="9"/>
  <c r="AA1096" i="9"/>
  <c r="D1096" i="9"/>
  <c r="C1097" i="9"/>
  <c r="AA1097" i="9"/>
  <c r="D1097" i="9"/>
  <c r="C1098" i="9"/>
  <c r="AA1098" i="9"/>
  <c r="D1098" i="9"/>
  <c r="C1099" i="9"/>
  <c r="AA1099" i="9"/>
  <c r="D1099" i="9"/>
  <c r="C1100" i="9"/>
  <c r="AA1100" i="9"/>
  <c r="D1100" i="9"/>
  <c r="C1101" i="9"/>
  <c r="AA1101" i="9"/>
  <c r="D1101" i="9"/>
  <c r="C1102" i="9"/>
  <c r="AA1102" i="9"/>
  <c r="D1102" i="9"/>
  <c r="C1103" i="9"/>
  <c r="AA1103" i="9"/>
  <c r="D1103" i="9"/>
  <c r="C1104" i="9"/>
  <c r="AA1104" i="9"/>
  <c r="D1104" i="9"/>
  <c r="C1105" i="9"/>
  <c r="AA1105" i="9"/>
  <c r="D1105" i="9"/>
  <c r="C1106" i="9"/>
  <c r="AA1106" i="9"/>
  <c r="D1106" i="9"/>
  <c r="D1091" i="9"/>
  <c r="C1091" i="9"/>
  <c r="AA1091" i="9"/>
  <c r="E1106" i="9"/>
  <c r="C1076" i="9"/>
  <c r="AA1076" i="9"/>
  <c r="D1076" i="9"/>
  <c r="C1077" i="9"/>
  <c r="AA1077" i="9"/>
  <c r="D1077" i="9"/>
  <c r="C1078" i="9"/>
  <c r="AA1078" i="9"/>
  <c r="D1078" i="9"/>
  <c r="C1079" i="9"/>
  <c r="AA1079" i="9"/>
  <c r="D1079" i="9"/>
  <c r="C1080" i="9"/>
  <c r="AA1080" i="9"/>
  <c r="D1080" i="9"/>
  <c r="C1081" i="9"/>
  <c r="AA1081" i="9"/>
  <c r="D1081" i="9"/>
  <c r="C1082" i="9"/>
  <c r="AA1082" i="9"/>
  <c r="D1082" i="9"/>
  <c r="C1083" i="9"/>
  <c r="AA1083" i="9"/>
  <c r="D1083" i="9"/>
  <c r="C1084" i="9"/>
  <c r="AA1084" i="9"/>
  <c r="D1084" i="9"/>
  <c r="C1085" i="9"/>
  <c r="AA1085" i="9"/>
  <c r="D1085" i="9"/>
  <c r="C1086" i="9"/>
  <c r="AA1086" i="9"/>
  <c r="D1086" i="9"/>
  <c r="C1087" i="9"/>
  <c r="AA1087" i="9"/>
  <c r="D1087" i="9"/>
  <c r="C1088" i="9"/>
  <c r="AA1088" i="9"/>
  <c r="D1088" i="9"/>
  <c r="C1089" i="9"/>
  <c r="AA1089" i="9"/>
  <c r="D1089" i="9"/>
  <c r="C1090" i="9"/>
  <c r="AA1090" i="9"/>
  <c r="D1090" i="9"/>
  <c r="D1075" i="9"/>
  <c r="C1075" i="9"/>
  <c r="AA1075" i="9"/>
  <c r="E1090" i="9"/>
  <c r="C1060" i="9"/>
  <c r="AA1060" i="9"/>
  <c r="D1060" i="9"/>
  <c r="C1061" i="9"/>
  <c r="AA1061" i="9"/>
  <c r="D1061" i="9"/>
  <c r="C1062" i="9"/>
  <c r="AA1062" i="9"/>
  <c r="D1062" i="9"/>
  <c r="C1063" i="9"/>
  <c r="AA1063" i="9"/>
  <c r="D1063" i="9"/>
  <c r="C1064" i="9"/>
  <c r="AA1064" i="9"/>
  <c r="D1064" i="9"/>
  <c r="C1065" i="9"/>
  <c r="AA1065" i="9"/>
  <c r="D1065" i="9"/>
  <c r="C1066" i="9"/>
  <c r="AA1066" i="9"/>
  <c r="D1066" i="9"/>
  <c r="C1067" i="9"/>
  <c r="AA1067" i="9"/>
  <c r="D1067" i="9"/>
  <c r="C1068" i="9"/>
  <c r="AA1068" i="9"/>
  <c r="D1068" i="9"/>
  <c r="C1069" i="9"/>
  <c r="AA1069" i="9"/>
  <c r="D1069" i="9"/>
  <c r="C1070" i="9"/>
  <c r="AA1070" i="9"/>
  <c r="D1070" i="9"/>
  <c r="C1071" i="9"/>
  <c r="AA1071" i="9"/>
  <c r="D1071" i="9"/>
  <c r="C1072" i="9"/>
  <c r="AA1072" i="9"/>
  <c r="D1072" i="9"/>
  <c r="C1073" i="9"/>
  <c r="AA1073" i="9"/>
  <c r="D1073" i="9"/>
  <c r="C1074" i="9"/>
  <c r="AA1074" i="9"/>
  <c r="D1074" i="9"/>
  <c r="D1059" i="9"/>
  <c r="C1059" i="9"/>
  <c r="AA1059" i="9"/>
  <c r="E1074" i="9"/>
  <c r="C1044" i="9"/>
  <c r="AA1044" i="9"/>
  <c r="D1044" i="9"/>
  <c r="C1045" i="9"/>
  <c r="AA1045" i="9"/>
  <c r="D1045" i="9"/>
  <c r="C1046" i="9"/>
  <c r="AA1046" i="9"/>
  <c r="D1046" i="9"/>
  <c r="C1047" i="9"/>
  <c r="AA1047" i="9"/>
  <c r="D1047" i="9"/>
  <c r="C1048" i="9"/>
  <c r="AA1048" i="9"/>
  <c r="D1048" i="9"/>
  <c r="C1049" i="9"/>
  <c r="AA1049" i="9"/>
  <c r="D1049" i="9"/>
  <c r="C1050" i="9"/>
  <c r="AA1050" i="9"/>
  <c r="D1050" i="9"/>
  <c r="C1051" i="9"/>
  <c r="AA1051" i="9"/>
  <c r="D1051" i="9"/>
  <c r="C1052" i="9"/>
  <c r="AA1052" i="9"/>
  <c r="D1052" i="9"/>
  <c r="C1053" i="9"/>
  <c r="AA1053" i="9"/>
  <c r="D1053" i="9"/>
  <c r="C1054" i="9"/>
  <c r="AA1054" i="9"/>
  <c r="D1054" i="9"/>
  <c r="C1055" i="9"/>
  <c r="AA1055" i="9"/>
  <c r="D1055" i="9"/>
  <c r="C1056" i="9"/>
  <c r="AA1056" i="9"/>
  <c r="D1056" i="9"/>
  <c r="C1057" i="9"/>
  <c r="AA1057" i="9"/>
  <c r="D1057" i="9"/>
  <c r="C1058" i="9"/>
  <c r="AA1058" i="9"/>
  <c r="D1058" i="9"/>
  <c r="D1043" i="9"/>
  <c r="C1043" i="9"/>
  <c r="AA1043" i="9"/>
  <c r="E1058" i="9"/>
  <c r="C1028" i="9"/>
  <c r="AA1028" i="9"/>
  <c r="D1028" i="9"/>
  <c r="C1029" i="9"/>
  <c r="AA1029" i="9"/>
  <c r="D1029" i="9"/>
  <c r="C1030" i="9"/>
  <c r="AA1030" i="9"/>
  <c r="D1030" i="9"/>
  <c r="C1031" i="9"/>
  <c r="AA1031" i="9"/>
  <c r="D1031" i="9"/>
  <c r="C1032" i="9"/>
  <c r="AA1032" i="9"/>
  <c r="D1032" i="9"/>
  <c r="C1033" i="9"/>
  <c r="AA1033" i="9"/>
  <c r="D1033" i="9"/>
  <c r="C1034" i="9"/>
  <c r="AA1034" i="9"/>
  <c r="D1034" i="9"/>
  <c r="C1035" i="9"/>
  <c r="AA1035" i="9"/>
  <c r="D1035" i="9"/>
  <c r="C1036" i="9"/>
  <c r="AA1036" i="9"/>
  <c r="D1036" i="9"/>
  <c r="C1037" i="9"/>
  <c r="AA1037" i="9"/>
  <c r="D1037" i="9"/>
  <c r="C1038" i="9"/>
  <c r="AA1038" i="9"/>
  <c r="D1038" i="9"/>
  <c r="C1039" i="9"/>
  <c r="AA1039" i="9"/>
  <c r="D1039" i="9"/>
  <c r="C1040" i="9"/>
  <c r="AA1040" i="9"/>
  <c r="D1040" i="9"/>
  <c r="C1041" i="9"/>
  <c r="AA1041" i="9"/>
  <c r="D1041" i="9"/>
  <c r="C1042" i="9"/>
  <c r="AA1042" i="9"/>
  <c r="D1042" i="9"/>
  <c r="D1027" i="9"/>
  <c r="C1027" i="9"/>
  <c r="AA1027" i="9"/>
  <c r="E1042" i="9"/>
  <c r="C1012" i="9"/>
  <c r="AA1012" i="9"/>
  <c r="D1012" i="9"/>
  <c r="C1013" i="9"/>
  <c r="AA1013" i="9"/>
  <c r="D1013" i="9"/>
  <c r="C1014" i="9"/>
  <c r="AA1014" i="9"/>
  <c r="D1014" i="9"/>
  <c r="C1015" i="9"/>
  <c r="AA1015" i="9"/>
  <c r="D1015" i="9"/>
  <c r="C1016" i="9"/>
  <c r="AA1016" i="9"/>
  <c r="D1016" i="9"/>
  <c r="C1017" i="9"/>
  <c r="AA1017" i="9"/>
  <c r="D1017" i="9"/>
  <c r="C1018" i="9"/>
  <c r="AA1018" i="9"/>
  <c r="D1018" i="9"/>
  <c r="C1019" i="9"/>
  <c r="AA1019" i="9"/>
  <c r="D1019" i="9"/>
  <c r="C1020" i="9"/>
  <c r="AA1020" i="9"/>
  <c r="D1020" i="9"/>
  <c r="C1021" i="9"/>
  <c r="AA1021" i="9"/>
  <c r="D1021" i="9"/>
  <c r="C1022" i="9"/>
  <c r="AA1022" i="9"/>
  <c r="D1022" i="9"/>
  <c r="C1023" i="9"/>
  <c r="AA1023" i="9"/>
  <c r="D1023" i="9"/>
  <c r="C1024" i="9"/>
  <c r="AA1024" i="9"/>
  <c r="D1024" i="9"/>
  <c r="C1025" i="9"/>
  <c r="AA1025" i="9"/>
  <c r="D1025" i="9"/>
  <c r="C1026" i="9"/>
  <c r="AA1026" i="9"/>
  <c r="D1026" i="9"/>
  <c r="D1011" i="9"/>
  <c r="C1011" i="9"/>
  <c r="AA1011" i="9"/>
  <c r="E1026" i="9"/>
  <c r="C996" i="9"/>
  <c r="AA996" i="9"/>
  <c r="D996" i="9"/>
  <c r="C997" i="9"/>
  <c r="AA997" i="9"/>
  <c r="D997" i="9"/>
  <c r="C998" i="9"/>
  <c r="AA998" i="9"/>
  <c r="D998" i="9"/>
  <c r="C999" i="9"/>
  <c r="AA999" i="9"/>
  <c r="D999" i="9"/>
  <c r="C1000" i="9"/>
  <c r="AA1000" i="9"/>
  <c r="D1000" i="9"/>
  <c r="C1001" i="9"/>
  <c r="AA1001" i="9"/>
  <c r="D1001" i="9"/>
  <c r="C1002" i="9"/>
  <c r="AA1002" i="9"/>
  <c r="D1002" i="9"/>
  <c r="C1003" i="9"/>
  <c r="AA1003" i="9"/>
  <c r="D1003" i="9"/>
  <c r="C1004" i="9"/>
  <c r="AA1004" i="9"/>
  <c r="D1004" i="9"/>
  <c r="C1005" i="9"/>
  <c r="AA1005" i="9"/>
  <c r="D1005" i="9"/>
  <c r="C1006" i="9"/>
  <c r="AA1006" i="9"/>
  <c r="D1006" i="9"/>
  <c r="C1007" i="9"/>
  <c r="AA1007" i="9"/>
  <c r="D1007" i="9"/>
  <c r="C1008" i="9"/>
  <c r="AA1008" i="9"/>
  <c r="D1008" i="9"/>
  <c r="C1009" i="9"/>
  <c r="AA1009" i="9"/>
  <c r="D1009" i="9"/>
  <c r="C1010" i="9"/>
  <c r="AA1010" i="9"/>
  <c r="D1010" i="9"/>
  <c r="D995" i="9"/>
  <c r="C995" i="9"/>
  <c r="AA995" i="9"/>
  <c r="E1010" i="9"/>
  <c r="C980" i="9"/>
  <c r="AA980" i="9"/>
  <c r="D980" i="9"/>
  <c r="C981" i="9"/>
  <c r="AA981" i="9"/>
  <c r="D981" i="9"/>
  <c r="C982" i="9"/>
  <c r="AA982" i="9"/>
  <c r="D982" i="9"/>
  <c r="C983" i="9"/>
  <c r="AA983" i="9"/>
  <c r="D983" i="9"/>
  <c r="C984" i="9"/>
  <c r="AA984" i="9"/>
  <c r="D984" i="9"/>
  <c r="C985" i="9"/>
  <c r="AA985" i="9"/>
  <c r="D985" i="9"/>
  <c r="C986" i="9"/>
  <c r="AA986" i="9"/>
  <c r="D986" i="9"/>
  <c r="C987" i="9"/>
  <c r="AA987" i="9"/>
  <c r="D987" i="9"/>
  <c r="C988" i="9"/>
  <c r="AA988" i="9"/>
  <c r="D988" i="9"/>
  <c r="C989" i="9"/>
  <c r="AA989" i="9"/>
  <c r="D989" i="9"/>
  <c r="C990" i="9"/>
  <c r="AA990" i="9"/>
  <c r="D990" i="9"/>
  <c r="C991" i="9"/>
  <c r="AA991" i="9"/>
  <c r="D991" i="9"/>
  <c r="C992" i="9"/>
  <c r="AA992" i="9"/>
  <c r="D992" i="9"/>
  <c r="C993" i="9"/>
  <c r="AA993" i="9"/>
  <c r="D993" i="9"/>
  <c r="C994" i="9"/>
  <c r="AA994" i="9"/>
  <c r="D994" i="9"/>
  <c r="D979" i="9"/>
  <c r="C979" i="9"/>
  <c r="AA979" i="9"/>
  <c r="E994" i="9"/>
  <c r="C964" i="9"/>
  <c r="AA964" i="9"/>
  <c r="D964" i="9"/>
  <c r="C965" i="9"/>
  <c r="AA965" i="9"/>
  <c r="D965" i="9"/>
  <c r="C966" i="9"/>
  <c r="AA966" i="9"/>
  <c r="D966" i="9"/>
  <c r="C967" i="9"/>
  <c r="AA967" i="9"/>
  <c r="D967" i="9"/>
  <c r="C968" i="9"/>
  <c r="AA968" i="9"/>
  <c r="D968" i="9"/>
  <c r="C969" i="9"/>
  <c r="AA969" i="9"/>
  <c r="D969" i="9"/>
  <c r="C970" i="9"/>
  <c r="AA970" i="9"/>
  <c r="D970" i="9"/>
  <c r="C971" i="9"/>
  <c r="AA971" i="9"/>
  <c r="D971" i="9"/>
  <c r="C972" i="9"/>
  <c r="AA972" i="9"/>
  <c r="D972" i="9"/>
  <c r="C973" i="9"/>
  <c r="AA973" i="9"/>
  <c r="D973" i="9"/>
  <c r="C974" i="9"/>
  <c r="AA974" i="9"/>
  <c r="D974" i="9"/>
  <c r="C975" i="9"/>
  <c r="AA975" i="9"/>
  <c r="D975" i="9"/>
  <c r="C976" i="9"/>
  <c r="AA976" i="9"/>
  <c r="D976" i="9"/>
  <c r="C977" i="9"/>
  <c r="AA977" i="9"/>
  <c r="D977" i="9"/>
  <c r="C978" i="9"/>
  <c r="AA978" i="9"/>
  <c r="D978" i="9"/>
  <c r="D963" i="9"/>
  <c r="C963" i="9"/>
  <c r="AA963" i="9"/>
  <c r="E978" i="9"/>
  <c r="C948" i="9"/>
  <c r="AA948" i="9"/>
  <c r="D948" i="9"/>
  <c r="C949" i="9"/>
  <c r="AA949" i="9"/>
  <c r="D949" i="9"/>
  <c r="C950" i="9"/>
  <c r="AA950" i="9"/>
  <c r="D950" i="9"/>
  <c r="C951" i="9"/>
  <c r="AA951" i="9"/>
  <c r="D951" i="9"/>
  <c r="C952" i="9"/>
  <c r="AA952" i="9"/>
  <c r="D952" i="9"/>
  <c r="C953" i="9"/>
  <c r="AA953" i="9"/>
  <c r="D953" i="9"/>
  <c r="C954" i="9"/>
  <c r="AA954" i="9"/>
  <c r="D954" i="9"/>
  <c r="C955" i="9"/>
  <c r="AA955" i="9"/>
  <c r="D955" i="9"/>
  <c r="C956" i="9"/>
  <c r="AA956" i="9"/>
  <c r="D956" i="9"/>
  <c r="C957" i="9"/>
  <c r="AA957" i="9"/>
  <c r="D957" i="9"/>
  <c r="C958" i="9"/>
  <c r="AA958" i="9"/>
  <c r="D958" i="9"/>
  <c r="C959" i="9"/>
  <c r="AA959" i="9"/>
  <c r="D959" i="9"/>
  <c r="C960" i="9"/>
  <c r="AA960" i="9"/>
  <c r="D960" i="9"/>
  <c r="C961" i="9"/>
  <c r="AA961" i="9"/>
  <c r="D961" i="9"/>
  <c r="C962" i="9"/>
  <c r="AA962" i="9"/>
  <c r="D962" i="9"/>
  <c r="D947" i="9"/>
  <c r="C947" i="9"/>
  <c r="AA947" i="9"/>
  <c r="E962" i="9"/>
  <c r="C932" i="9"/>
  <c r="AA932" i="9"/>
  <c r="D932" i="9"/>
  <c r="C933" i="9"/>
  <c r="AA933" i="9"/>
  <c r="D933" i="9"/>
  <c r="C934" i="9"/>
  <c r="AA934" i="9"/>
  <c r="D934" i="9"/>
  <c r="C935" i="9"/>
  <c r="AA935" i="9"/>
  <c r="D935" i="9"/>
  <c r="C936" i="9"/>
  <c r="AA936" i="9"/>
  <c r="D936" i="9"/>
  <c r="C937" i="9"/>
  <c r="AA937" i="9"/>
  <c r="D937" i="9"/>
  <c r="C938" i="9"/>
  <c r="AA938" i="9"/>
  <c r="D938" i="9"/>
  <c r="C939" i="9"/>
  <c r="AA939" i="9"/>
  <c r="D939" i="9"/>
  <c r="C940" i="9"/>
  <c r="AA940" i="9"/>
  <c r="D940" i="9"/>
  <c r="C941" i="9"/>
  <c r="AA941" i="9"/>
  <c r="D941" i="9"/>
  <c r="C942" i="9"/>
  <c r="AA942" i="9"/>
  <c r="D942" i="9"/>
  <c r="C943" i="9"/>
  <c r="AA943" i="9"/>
  <c r="D943" i="9"/>
  <c r="C944" i="9"/>
  <c r="AA944" i="9"/>
  <c r="D944" i="9"/>
  <c r="C945" i="9"/>
  <c r="AA945" i="9"/>
  <c r="D945" i="9"/>
  <c r="C946" i="9"/>
  <c r="AA946" i="9"/>
  <c r="D946" i="9"/>
  <c r="D931" i="9"/>
  <c r="C931" i="9"/>
  <c r="AA931" i="9"/>
  <c r="E946" i="9"/>
  <c r="C916" i="9"/>
  <c r="AA916" i="9"/>
  <c r="D916" i="9"/>
  <c r="C917" i="9"/>
  <c r="AA917" i="9"/>
  <c r="D917" i="9"/>
  <c r="C918" i="9"/>
  <c r="AA918" i="9"/>
  <c r="D918" i="9"/>
  <c r="C919" i="9"/>
  <c r="AA919" i="9"/>
  <c r="D919" i="9"/>
  <c r="C920" i="9"/>
  <c r="AA920" i="9"/>
  <c r="D920" i="9"/>
  <c r="C921" i="9"/>
  <c r="AA921" i="9"/>
  <c r="D921" i="9"/>
  <c r="C922" i="9"/>
  <c r="AA922" i="9"/>
  <c r="D922" i="9"/>
  <c r="C923" i="9"/>
  <c r="AA923" i="9"/>
  <c r="D923" i="9"/>
  <c r="C924" i="9"/>
  <c r="AA924" i="9"/>
  <c r="D924" i="9"/>
  <c r="C925" i="9"/>
  <c r="AA925" i="9"/>
  <c r="D925" i="9"/>
  <c r="C926" i="9"/>
  <c r="AA926" i="9"/>
  <c r="D926" i="9"/>
  <c r="C927" i="9"/>
  <c r="AA927" i="9"/>
  <c r="D927" i="9"/>
  <c r="C928" i="9"/>
  <c r="AA928" i="9"/>
  <c r="D928" i="9"/>
  <c r="C929" i="9"/>
  <c r="AA929" i="9"/>
  <c r="D929" i="9"/>
  <c r="C930" i="9"/>
  <c r="AA930" i="9"/>
  <c r="D930" i="9"/>
  <c r="D915" i="9"/>
  <c r="C915" i="9"/>
  <c r="AA915" i="9"/>
  <c r="E930" i="9"/>
  <c r="C900" i="9"/>
  <c r="AA900" i="9"/>
  <c r="D900" i="9"/>
  <c r="C901" i="9"/>
  <c r="AA901" i="9"/>
  <c r="D901" i="9"/>
  <c r="C902" i="9"/>
  <c r="AA902" i="9"/>
  <c r="D902" i="9"/>
  <c r="C903" i="9"/>
  <c r="AA903" i="9"/>
  <c r="D903" i="9"/>
  <c r="C904" i="9"/>
  <c r="AA904" i="9"/>
  <c r="D904" i="9"/>
  <c r="C905" i="9"/>
  <c r="AA905" i="9"/>
  <c r="D905" i="9"/>
  <c r="C906" i="9"/>
  <c r="AA906" i="9"/>
  <c r="D906" i="9"/>
  <c r="C907" i="9"/>
  <c r="AA907" i="9"/>
  <c r="D907" i="9"/>
  <c r="C908" i="9"/>
  <c r="AA908" i="9"/>
  <c r="D908" i="9"/>
  <c r="C909" i="9"/>
  <c r="AA909" i="9"/>
  <c r="D909" i="9"/>
  <c r="C910" i="9"/>
  <c r="AA910" i="9"/>
  <c r="D910" i="9"/>
  <c r="C911" i="9"/>
  <c r="AA911" i="9"/>
  <c r="D911" i="9"/>
  <c r="C912" i="9"/>
  <c r="AA912" i="9"/>
  <c r="D912" i="9"/>
  <c r="C913" i="9"/>
  <c r="AA913" i="9"/>
  <c r="D913" i="9"/>
  <c r="C914" i="9"/>
  <c r="AA914" i="9"/>
  <c r="D914" i="9"/>
  <c r="D899" i="9"/>
  <c r="C899" i="9"/>
  <c r="AA899" i="9"/>
  <c r="E914" i="9"/>
  <c r="C884" i="9"/>
  <c r="AA884" i="9"/>
  <c r="D884" i="9"/>
  <c r="C885" i="9"/>
  <c r="AA885" i="9"/>
  <c r="D885" i="9"/>
  <c r="C886" i="9"/>
  <c r="AA886" i="9"/>
  <c r="D886" i="9"/>
  <c r="C887" i="9"/>
  <c r="AA887" i="9"/>
  <c r="D887" i="9"/>
  <c r="C888" i="9"/>
  <c r="AA888" i="9"/>
  <c r="D888" i="9"/>
  <c r="C889" i="9"/>
  <c r="AA889" i="9"/>
  <c r="D889" i="9"/>
  <c r="C890" i="9"/>
  <c r="AA890" i="9"/>
  <c r="D890" i="9"/>
  <c r="C891" i="9"/>
  <c r="AA891" i="9"/>
  <c r="D891" i="9"/>
  <c r="C892" i="9"/>
  <c r="AA892" i="9"/>
  <c r="D892" i="9"/>
  <c r="C893" i="9"/>
  <c r="AA893" i="9"/>
  <c r="D893" i="9"/>
  <c r="C894" i="9"/>
  <c r="AA894" i="9"/>
  <c r="D894" i="9"/>
  <c r="C895" i="9"/>
  <c r="AA895" i="9"/>
  <c r="D895" i="9"/>
  <c r="C896" i="9"/>
  <c r="AA896" i="9"/>
  <c r="D896" i="9"/>
  <c r="C897" i="9"/>
  <c r="AA897" i="9"/>
  <c r="D897" i="9"/>
  <c r="C898" i="9"/>
  <c r="AA898" i="9"/>
  <c r="D898" i="9"/>
  <c r="D883" i="9"/>
  <c r="C883" i="9"/>
  <c r="AA883" i="9"/>
  <c r="E898" i="9"/>
  <c r="C868" i="9"/>
  <c r="AA868" i="9"/>
  <c r="D868" i="9"/>
  <c r="C869" i="9"/>
  <c r="AA869" i="9"/>
  <c r="D869" i="9"/>
  <c r="C870" i="9"/>
  <c r="AA870" i="9"/>
  <c r="D870" i="9"/>
  <c r="C871" i="9"/>
  <c r="AA871" i="9"/>
  <c r="D871" i="9"/>
  <c r="C872" i="9"/>
  <c r="AA872" i="9"/>
  <c r="D872" i="9"/>
  <c r="C873" i="9"/>
  <c r="AA873" i="9"/>
  <c r="D873" i="9"/>
  <c r="C874" i="9"/>
  <c r="AA874" i="9"/>
  <c r="D874" i="9"/>
  <c r="C875" i="9"/>
  <c r="AA875" i="9"/>
  <c r="D875" i="9"/>
  <c r="C876" i="9"/>
  <c r="AA876" i="9"/>
  <c r="D876" i="9"/>
  <c r="C877" i="9"/>
  <c r="AA877" i="9"/>
  <c r="D877" i="9"/>
  <c r="C878" i="9"/>
  <c r="AA878" i="9"/>
  <c r="D878" i="9"/>
  <c r="C879" i="9"/>
  <c r="AA879" i="9"/>
  <c r="D879" i="9"/>
  <c r="C880" i="9"/>
  <c r="AA880" i="9"/>
  <c r="D880" i="9"/>
  <c r="C881" i="9"/>
  <c r="AA881" i="9"/>
  <c r="D881" i="9"/>
  <c r="C882" i="9"/>
  <c r="AA882" i="9"/>
  <c r="D882" i="9"/>
  <c r="D867" i="9"/>
  <c r="C867" i="9"/>
  <c r="AA867" i="9"/>
  <c r="E882" i="9"/>
  <c r="C852" i="9"/>
  <c r="AA852" i="9"/>
  <c r="D852" i="9"/>
  <c r="C853" i="9"/>
  <c r="AA853" i="9"/>
  <c r="D853" i="9"/>
  <c r="C854" i="9"/>
  <c r="AA854" i="9"/>
  <c r="D854" i="9"/>
  <c r="C855" i="9"/>
  <c r="AA855" i="9"/>
  <c r="D855" i="9"/>
  <c r="C856" i="9"/>
  <c r="AA856" i="9"/>
  <c r="D856" i="9"/>
  <c r="C857" i="9"/>
  <c r="AA857" i="9"/>
  <c r="D857" i="9"/>
  <c r="C858" i="9"/>
  <c r="AA858" i="9"/>
  <c r="D858" i="9"/>
  <c r="C859" i="9"/>
  <c r="AA859" i="9"/>
  <c r="D859" i="9"/>
  <c r="C860" i="9"/>
  <c r="AA860" i="9"/>
  <c r="D860" i="9"/>
  <c r="C861" i="9"/>
  <c r="AA861" i="9"/>
  <c r="D861" i="9"/>
  <c r="C862" i="9"/>
  <c r="AA862" i="9"/>
  <c r="D862" i="9"/>
  <c r="C863" i="9"/>
  <c r="AA863" i="9"/>
  <c r="D863" i="9"/>
  <c r="C864" i="9"/>
  <c r="AA864" i="9"/>
  <c r="D864" i="9"/>
  <c r="C865" i="9"/>
  <c r="AA865" i="9"/>
  <c r="D865" i="9"/>
  <c r="C866" i="9"/>
  <c r="AA866" i="9"/>
  <c r="D866" i="9"/>
  <c r="D851" i="9"/>
  <c r="C851" i="9"/>
  <c r="AA851" i="9"/>
  <c r="E866" i="9"/>
  <c r="C836" i="9"/>
  <c r="AA836" i="9"/>
  <c r="D836" i="9"/>
  <c r="C837" i="9"/>
  <c r="AA837" i="9"/>
  <c r="D837" i="9"/>
  <c r="C838" i="9"/>
  <c r="AA838" i="9"/>
  <c r="D838" i="9"/>
  <c r="C839" i="9"/>
  <c r="AA839" i="9"/>
  <c r="D839" i="9"/>
  <c r="C840" i="9"/>
  <c r="AA840" i="9"/>
  <c r="D840" i="9"/>
  <c r="C841" i="9"/>
  <c r="AA841" i="9"/>
  <c r="D841" i="9"/>
  <c r="C842" i="9"/>
  <c r="AA842" i="9"/>
  <c r="D842" i="9"/>
  <c r="C843" i="9"/>
  <c r="AA843" i="9"/>
  <c r="D843" i="9"/>
  <c r="C844" i="9"/>
  <c r="AA844" i="9"/>
  <c r="D844" i="9"/>
  <c r="C845" i="9"/>
  <c r="AA845" i="9"/>
  <c r="D845" i="9"/>
  <c r="C846" i="9"/>
  <c r="AA846" i="9"/>
  <c r="D846" i="9"/>
  <c r="C847" i="9"/>
  <c r="AA847" i="9"/>
  <c r="D847" i="9"/>
  <c r="C848" i="9"/>
  <c r="AA848" i="9"/>
  <c r="D848" i="9"/>
  <c r="C849" i="9"/>
  <c r="AA849" i="9"/>
  <c r="D849" i="9"/>
  <c r="C850" i="9"/>
  <c r="AA850" i="9"/>
  <c r="D850" i="9"/>
  <c r="D835" i="9"/>
  <c r="C835" i="9"/>
  <c r="AA835" i="9"/>
  <c r="E850" i="9"/>
  <c r="C820" i="9"/>
  <c r="AA820" i="9"/>
  <c r="D820" i="9"/>
  <c r="C821" i="9"/>
  <c r="AA821" i="9"/>
  <c r="D821" i="9"/>
  <c r="C822" i="9"/>
  <c r="AA822" i="9"/>
  <c r="D822" i="9"/>
  <c r="C823" i="9"/>
  <c r="AA823" i="9"/>
  <c r="D823" i="9"/>
  <c r="C824" i="9"/>
  <c r="AA824" i="9"/>
  <c r="D824" i="9"/>
  <c r="C825" i="9"/>
  <c r="AA825" i="9"/>
  <c r="D825" i="9"/>
  <c r="C826" i="9"/>
  <c r="AA826" i="9"/>
  <c r="D826" i="9"/>
  <c r="C827" i="9"/>
  <c r="AA827" i="9"/>
  <c r="D827" i="9"/>
  <c r="C828" i="9"/>
  <c r="AA828" i="9"/>
  <c r="D828" i="9"/>
  <c r="C829" i="9"/>
  <c r="AA829" i="9"/>
  <c r="D829" i="9"/>
  <c r="C830" i="9"/>
  <c r="AA830" i="9"/>
  <c r="D830" i="9"/>
  <c r="C831" i="9"/>
  <c r="AA831" i="9"/>
  <c r="D831" i="9"/>
  <c r="C832" i="9"/>
  <c r="AA832" i="9"/>
  <c r="D832" i="9"/>
  <c r="C833" i="9"/>
  <c r="AA833" i="9"/>
  <c r="D833" i="9"/>
  <c r="C834" i="9"/>
  <c r="AA834" i="9"/>
  <c r="D834" i="9"/>
  <c r="D819" i="9"/>
  <c r="C819" i="9"/>
  <c r="AA819" i="9"/>
  <c r="E834" i="9"/>
  <c r="C804" i="9"/>
  <c r="AA804" i="9"/>
  <c r="D804" i="9"/>
  <c r="C805" i="9"/>
  <c r="AA805" i="9"/>
  <c r="D805" i="9"/>
  <c r="C806" i="9"/>
  <c r="AA806" i="9"/>
  <c r="D806" i="9"/>
  <c r="C807" i="9"/>
  <c r="AA807" i="9"/>
  <c r="D807" i="9"/>
  <c r="C808" i="9"/>
  <c r="AA808" i="9"/>
  <c r="D808" i="9"/>
  <c r="C809" i="9"/>
  <c r="AA809" i="9"/>
  <c r="D809" i="9"/>
  <c r="C810" i="9"/>
  <c r="AA810" i="9"/>
  <c r="D810" i="9"/>
  <c r="C811" i="9"/>
  <c r="AA811" i="9"/>
  <c r="D811" i="9"/>
  <c r="C812" i="9"/>
  <c r="AA812" i="9"/>
  <c r="D812" i="9"/>
  <c r="C813" i="9"/>
  <c r="AA813" i="9"/>
  <c r="D813" i="9"/>
  <c r="C814" i="9"/>
  <c r="AA814" i="9"/>
  <c r="D814" i="9"/>
  <c r="C815" i="9"/>
  <c r="AA815" i="9"/>
  <c r="D815" i="9"/>
  <c r="C816" i="9"/>
  <c r="AA816" i="9"/>
  <c r="D816" i="9"/>
  <c r="C817" i="9"/>
  <c r="AA817" i="9"/>
  <c r="D817" i="9"/>
  <c r="C818" i="9"/>
  <c r="AA818" i="9"/>
  <c r="D818" i="9"/>
  <c r="D803" i="9"/>
  <c r="C803" i="9"/>
  <c r="AA803" i="9"/>
  <c r="E818" i="9"/>
  <c r="C788" i="9"/>
  <c r="AA788" i="9"/>
  <c r="D788" i="9"/>
  <c r="C789" i="9"/>
  <c r="AA789" i="9"/>
  <c r="D789" i="9"/>
  <c r="C790" i="9"/>
  <c r="AA790" i="9"/>
  <c r="D790" i="9"/>
  <c r="C791" i="9"/>
  <c r="AA791" i="9"/>
  <c r="D791" i="9"/>
  <c r="C792" i="9"/>
  <c r="AA792" i="9"/>
  <c r="D792" i="9"/>
  <c r="C793" i="9"/>
  <c r="AA793" i="9"/>
  <c r="D793" i="9"/>
  <c r="C794" i="9"/>
  <c r="AA794" i="9"/>
  <c r="D794" i="9"/>
  <c r="C795" i="9"/>
  <c r="AA795" i="9"/>
  <c r="D795" i="9"/>
  <c r="C796" i="9"/>
  <c r="AA796" i="9"/>
  <c r="D796" i="9"/>
  <c r="C797" i="9"/>
  <c r="AA797" i="9"/>
  <c r="D797" i="9"/>
  <c r="C798" i="9"/>
  <c r="AA798" i="9"/>
  <c r="D798" i="9"/>
  <c r="C799" i="9"/>
  <c r="AA799" i="9"/>
  <c r="D799" i="9"/>
  <c r="C800" i="9"/>
  <c r="AA800" i="9"/>
  <c r="D800" i="9"/>
  <c r="C801" i="9"/>
  <c r="AA801" i="9"/>
  <c r="D801" i="9"/>
  <c r="C802" i="9"/>
  <c r="AA802" i="9"/>
  <c r="D802" i="9"/>
  <c r="D787" i="9"/>
  <c r="C787" i="9"/>
  <c r="AA787" i="9"/>
  <c r="E802" i="9"/>
  <c r="C772" i="9"/>
  <c r="AA772" i="9"/>
  <c r="D772" i="9"/>
  <c r="C773" i="9"/>
  <c r="AA773" i="9"/>
  <c r="D773" i="9"/>
  <c r="C774" i="9"/>
  <c r="AA774" i="9"/>
  <c r="D774" i="9"/>
  <c r="C775" i="9"/>
  <c r="AA775" i="9"/>
  <c r="D775" i="9"/>
  <c r="C776" i="9"/>
  <c r="AA776" i="9"/>
  <c r="D776" i="9"/>
  <c r="C777" i="9"/>
  <c r="AA777" i="9"/>
  <c r="D777" i="9"/>
  <c r="C778" i="9"/>
  <c r="AA778" i="9"/>
  <c r="D778" i="9"/>
  <c r="C779" i="9"/>
  <c r="AA779" i="9"/>
  <c r="D779" i="9"/>
  <c r="C780" i="9"/>
  <c r="AA780" i="9"/>
  <c r="D780" i="9"/>
  <c r="C781" i="9"/>
  <c r="AA781" i="9"/>
  <c r="D781" i="9"/>
  <c r="C782" i="9"/>
  <c r="AA782" i="9"/>
  <c r="D782" i="9"/>
  <c r="C783" i="9"/>
  <c r="AA783" i="9"/>
  <c r="D783" i="9"/>
  <c r="C784" i="9"/>
  <c r="AA784" i="9"/>
  <c r="D784" i="9"/>
  <c r="C785" i="9"/>
  <c r="AA785" i="9"/>
  <c r="D785" i="9"/>
  <c r="C786" i="9"/>
  <c r="AA786" i="9"/>
  <c r="D786" i="9"/>
  <c r="D771" i="9"/>
  <c r="C771" i="9"/>
  <c r="AA771" i="9"/>
  <c r="E786" i="9"/>
  <c r="C756" i="9"/>
  <c r="AA756" i="9"/>
  <c r="D756" i="9"/>
  <c r="C757" i="9"/>
  <c r="AA757" i="9"/>
  <c r="D757" i="9"/>
  <c r="C758" i="9"/>
  <c r="AA758" i="9"/>
  <c r="D758" i="9"/>
  <c r="C759" i="9"/>
  <c r="AA759" i="9"/>
  <c r="D759" i="9"/>
  <c r="C760" i="9"/>
  <c r="AA760" i="9"/>
  <c r="D760" i="9"/>
  <c r="C761" i="9"/>
  <c r="AA761" i="9"/>
  <c r="D761" i="9"/>
  <c r="C762" i="9"/>
  <c r="AA762" i="9"/>
  <c r="D762" i="9"/>
  <c r="C763" i="9"/>
  <c r="AA763" i="9"/>
  <c r="D763" i="9"/>
  <c r="C764" i="9"/>
  <c r="AA764" i="9"/>
  <c r="D764" i="9"/>
  <c r="C765" i="9"/>
  <c r="AA765" i="9"/>
  <c r="D765" i="9"/>
  <c r="C766" i="9"/>
  <c r="AA766" i="9"/>
  <c r="D766" i="9"/>
  <c r="C767" i="9"/>
  <c r="AA767" i="9"/>
  <c r="D767" i="9"/>
  <c r="C768" i="9"/>
  <c r="AA768" i="9"/>
  <c r="D768" i="9"/>
  <c r="C769" i="9"/>
  <c r="AA769" i="9"/>
  <c r="D769" i="9"/>
  <c r="C770" i="9"/>
  <c r="AA770" i="9"/>
  <c r="D770" i="9"/>
  <c r="D755" i="9"/>
  <c r="C755" i="9"/>
  <c r="AA755" i="9"/>
  <c r="E770" i="9"/>
  <c r="C740" i="9"/>
  <c r="AA740" i="9"/>
  <c r="D740" i="9"/>
  <c r="C741" i="9"/>
  <c r="AA741" i="9"/>
  <c r="D741" i="9"/>
  <c r="C742" i="9"/>
  <c r="AA742" i="9"/>
  <c r="D742" i="9"/>
  <c r="C743" i="9"/>
  <c r="AA743" i="9"/>
  <c r="D743" i="9"/>
  <c r="C744" i="9"/>
  <c r="AA744" i="9"/>
  <c r="D744" i="9"/>
  <c r="C745" i="9"/>
  <c r="AA745" i="9"/>
  <c r="D745" i="9"/>
  <c r="C746" i="9"/>
  <c r="AA746" i="9"/>
  <c r="D746" i="9"/>
  <c r="C747" i="9"/>
  <c r="AA747" i="9"/>
  <c r="D747" i="9"/>
  <c r="C748" i="9"/>
  <c r="AA748" i="9"/>
  <c r="D748" i="9"/>
  <c r="C749" i="9"/>
  <c r="AA749" i="9"/>
  <c r="D749" i="9"/>
  <c r="C750" i="9"/>
  <c r="AA750" i="9"/>
  <c r="D750" i="9"/>
  <c r="C751" i="9"/>
  <c r="AA751" i="9"/>
  <c r="D751" i="9"/>
  <c r="C752" i="9"/>
  <c r="AA752" i="9"/>
  <c r="D752" i="9"/>
  <c r="C753" i="9"/>
  <c r="AA753" i="9"/>
  <c r="D753" i="9"/>
  <c r="C754" i="9"/>
  <c r="AA754" i="9"/>
  <c r="D754" i="9"/>
  <c r="D739" i="9"/>
  <c r="C739" i="9"/>
  <c r="AA739" i="9"/>
  <c r="E754" i="9"/>
  <c r="C724" i="9"/>
  <c r="AA724" i="9"/>
  <c r="D724" i="9"/>
  <c r="C725" i="9"/>
  <c r="AA725" i="9"/>
  <c r="D725" i="9"/>
  <c r="C726" i="9"/>
  <c r="AA726" i="9"/>
  <c r="D726" i="9"/>
  <c r="C727" i="9"/>
  <c r="AA727" i="9"/>
  <c r="D727" i="9"/>
  <c r="C728" i="9"/>
  <c r="AA728" i="9"/>
  <c r="D728" i="9"/>
  <c r="C729" i="9"/>
  <c r="AA729" i="9"/>
  <c r="D729" i="9"/>
  <c r="C730" i="9"/>
  <c r="AA730" i="9"/>
  <c r="D730" i="9"/>
  <c r="C731" i="9"/>
  <c r="AA731" i="9"/>
  <c r="D731" i="9"/>
  <c r="C732" i="9"/>
  <c r="AA732" i="9"/>
  <c r="D732" i="9"/>
  <c r="C733" i="9"/>
  <c r="AA733" i="9"/>
  <c r="D733" i="9"/>
  <c r="C734" i="9"/>
  <c r="AA734" i="9"/>
  <c r="D734" i="9"/>
  <c r="C735" i="9"/>
  <c r="AA735" i="9"/>
  <c r="D735" i="9"/>
  <c r="C736" i="9"/>
  <c r="AA736" i="9"/>
  <c r="D736" i="9"/>
  <c r="C737" i="9"/>
  <c r="AA737" i="9"/>
  <c r="D737" i="9"/>
  <c r="C738" i="9"/>
  <c r="AA738" i="9"/>
  <c r="D738" i="9"/>
  <c r="D723" i="9"/>
  <c r="C723" i="9"/>
  <c r="AA723" i="9"/>
  <c r="E738" i="9"/>
  <c r="C708" i="9"/>
  <c r="AA708" i="9"/>
  <c r="D708" i="9"/>
  <c r="C709" i="9"/>
  <c r="AA709" i="9"/>
  <c r="D709" i="9"/>
  <c r="C710" i="9"/>
  <c r="AA710" i="9"/>
  <c r="D710" i="9"/>
  <c r="C711" i="9"/>
  <c r="AA711" i="9"/>
  <c r="D711" i="9"/>
  <c r="C712" i="9"/>
  <c r="AA712" i="9"/>
  <c r="D712" i="9"/>
  <c r="C713" i="9"/>
  <c r="AA713" i="9"/>
  <c r="D713" i="9"/>
  <c r="C714" i="9"/>
  <c r="AA714" i="9"/>
  <c r="D714" i="9"/>
  <c r="C715" i="9"/>
  <c r="AA715" i="9"/>
  <c r="D715" i="9"/>
  <c r="C716" i="9"/>
  <c r="AA716" i="9"/>
  <c r="D716" i="9"/>
  <c r="C717" i="9"/>
  <c r="AA717" i="9"/>
  <c r="D717" i="9"/>
  <c r="C718" i="9"/>
  <c r="AA718" i="9"/>
  <c r="D718" i="9"/>
  <c r="C719" i="9"/>
  <c r="AA719" i="9"/>
  <c r="D719" i="9"/>
  <c r="C720" i="9"/>
  <c r="AA720" i="9"/>
  <c r="D720" i="9"/>
  <c r="C721" i="9"/>
  <c r="AA721" i="9"/>
  <c r="D721" i="9"/>
  <c r="C722" i="9"/>
  <c r="AA722" i="9"/>
  <c r="D722" i="9"/>
  <c r="D707" i="9"/>
  <c r="C707" i="9"/>
  <c r="AA707" i="9"/>
  <c r="E722" i="9"/>
  <c r="C692" i="9"/>
  <c r="AA692" i="9"/>
  <c r="D692" i="9"/>
  <c r="C693" i="9"/>
  <c r="AA693" i="9"/>
  <c r="D693" i="9"/>
  <c r="C694" i="9"/>
  <c r="AA694" i="9"/>
  <c r="D694" i="9"/>
  <c r="C695" i="9"/>
  <c r="AA695" i="9"/>
  <c r="D695" i="9"/>
  <c r="C696" i="9"/>
  <c r="AA696" i="9"/>
  <c r="D696" i="9"/>
  <c r="C697" i="9"/>
  <c r="AA697" i="9"/>
  <c r="D697" i="9"/>
  <c r="C698" i="9"/>
  <c r="AA698" i="9"/>
  <c r="D698" i="9"/>
  <c r="C699" i="9"/>
  <c r="AA699" i="9"/>
  <c r="D699" i="9"/>
  <c r="C700" i="9"/>
  <c r="AA700" i="9"/>
  <c r="D700" i="9"/>
  <c r="C701" i="9"/>
  <c r="AA701" i="9"/>
  <c r="D701" i="9"/>
  <c r="C702" i="9"/>
  <c r="AA702" i="9"/>
  <c r="D702" i="9"/>
  <c r="C703" i="9"/>
  <c r="AA703" i="9"/>
  <c r="D703" i="9"/>
  <c r="C704" i="9"/>
  <c r="AA704" i="9"/>
  <c r="D704" i="9"/>
  <c r="C705" i="9"/>
  <c r="AA705" i="9"/>
  <c r="D705" i="9"/>
  <c r="C706" i="9"/>
  <c r="AA706" i="9"/>
  <c r="D706" i="9"/>
  <c r="D691" i="9"/>
  <c r="C691" i="9"/>
  <c r="AA691" i="9"/>
  <c r="E706" i="9"/>
  <c r="C676" i="9"/>
  <c r="AA676" i="9"/>
  <c r="D676" i="9"/>
  <c r="C677" i="9"/>
  <c r="AA677" i="9"/>
  <c r="D677" i="9"/>
  <c r="C678" i="9"/>
  <c r="AA678" i="9"/>
  <c r="D678" i="9"/>
  <c r="C679" i="9"/>
  <c r="AA679" i="9"/>
  <c r="D679" i="9"/>
  <c r="C680" i="9"/>
  <c r="AA680" i="9"/>
  <c r="D680" i="9"/>
  <c r="C681" i="9"/>
  <c r="AA681" i="9"/>
  <c r="D681" i="9"/>
  <c r="C682" i="9"/>
  <c r="AA682" i="9"/>
  <c r="D682" i="9"/>
  <c r="C683" i="9"/>
  <c r="AA683" i="9"/>
  <c r="D683" i="9"/>
  <c r="C684" i="9"/>
  <c r="AA684" i="9"/>
  <c r="D684" i="9"/>
  <c r="C685" i="9"/>
  <c r="AA685" i="9"/>
  <c r="D685" i="9"/>
  <c r="C686" i="9"/>
  <c r="AA686" i="9"/>
  <c r="D686" i="9"/>
  <c r="C687" i="9"/>
  <c r="AA687" i="9"/>
  <c r="D687" i="9"/>
  <c r="C688" i="9"/>
  <c r="AA688" i="9"/>
  <c r="D688" i="9"/>
  <c r="C689" i="9"/>
  <c r="AA689" i="9"/>
  <c r="D689" i="9"/>
  <c r="C690" i="9"/>
  <c r="AA690" i="9"/>
  <c r="D690" i="9"/>
  <c r="D675" i="9"/>
  <c r="C675" i="9"/>
  <c r="AA675" i="9"/>
  <c r="E690" i="9"/>
  <c r="C660" i="9"/>
  <c r="AA660" i="9"/>
  <c r="D660" i="9"/>
  <c r="C661" i="9"/>
  <c r="AA661" i="9"/>
  <c r="D661" i="9"/>
  <c r="C662" i="9"/>
  <c r="AA662" i="9"/>
  <c r="D662" i="9"/>
  <c r="C663" i="9"/>
  <c r="AA663" i="9"/>
  <c r="D663" i="9"/>
  <c r="C664" i="9"/>
  <c r="AA664" i="9"/>
  <c r="D664" i="9"/>
  <c r="C665" i="9"/>
  <c r="AA665" i="9"/>
  <c r="D665" i="9"/>
  <c r="C666" i="9"/>
  <c r="AA666" i="9"/>
  <c r="D666" i="9"/>
  <c r="C667" i="9"/>
  <c r="AA667" i="9"/>
  <c r="D667" i="9"/>
  <c r="C668" i="9"/>
  <c r="AA668" i="9"/>
  <c r="D668" i="9"/>
  <c r="C669" i="9"/>
  <c r="AA669" i="9"/>
  <c r="D669" i="9"/>
  <c r="C670" i="9"/>
  <c r="AA670" i="9"/>
  <c r="D670" i="9"/>
  <c r="C671" i="9"/>
  <c r="AA671" i="9"/>
  <c r="D671" i="9"/>
  <c r="C672" i="9"/>
  <c r="AA672" i="9"/>
  <c r="D672" i="9"/>
  <c r="C673" i="9"/>
  <c r="AA673" i="9"/>
  <c r="D673" i="9"/>
  <c r="C674" i="9"/>
  <c r="AA674" i="9"/>
  <c r="D674" i="9"/>
  <c r="D659" i="9"/>
  <c r="C659" i="9"/>
  <c r="AA659" i="9"/>
  <c r="E674" i="9"/>
  <c r="C644" i="9"/>
  <c r="AA644" i="9"/>
  <c r="D644" i="9"/>
  <c r="C645" i="9"/>
  <c r="AA645" i="9"/>
  <c r="D645" i="9"/>
  <c r="C646" i="9"/>
  <c r="AA646" i="9"/>
  <c r="D646" i="9"/>
  <c r="C647" i="9"/>
  <c r="AA647" i="9"/>
  <c r="D647" i="9"/>
  <c r="C648" i="9"/>
  <c r="AA648" i="9"/>
  <c r="D648" i="9"/>
  <c r="C649" i="9"/>
  <c r="AA649" i="9"/>
  <c r="D649" i="9"/>
  <c r="C650" i="9"/>
  <c r="AA650" i="9"/>
  <c r="D650" i="9"/>
  <c r="C651" i="9"/>
  <c r="AA651" i="9"/>
  <c r="D651" i="9"/>
  <c r="C652" i="9"/>
  <c r="AA652" i="9"/>
  <c r="D652" i="9"/>
  <c r="C653" i="9"/>
  <c r="AA653" i="9"/>
  <c r="D653" i="9"/>
  <c r="C654" i="9"/>
  <c r="AA654" i="9"/>
  <c r="D654" i="9"/>
  <c r="C655" i="9"/>
  <c r="AA655" i="9"/>
  <c r="D655" i="9"/>
  <c r="C656" i="9"/>
  <c r="AA656" i="9"/>
  <c r="D656" i="9"/>
  <c r="C657" i="9"/>
  <c r="AA657" i="9"/>
  <c r="D657" i="9"/>
  <c r="C658" i="9"/>
  <c r="AA658" i="9"/>
  <c r="D658" i="9"/>
  <c r="D643" i="9"/>
  <c r="C643" i="9"/>
  <c r="AA643" i="9"/>
  <c r="E658" i="9"/>
  <c r="C628" i="9"/>
  <c r="AA628" i="9"/>
  <c r="D628" i="9"/>
  <c r="C629" i="9"/>
  <c r="AA629" i="9"/>
  <c r="D629" i="9"/>
  <c r="C630" i="9"/>
  <c r="AA630" i="9"/>
  <c r="D630" i="9"/>
  <c r="C631" i="9"/>
  <c r="AA631" i="9"/>
  <c r="D631" i="9"/>
  <c r="C632" i="9"/>
  <c r="AA632" i="9"/>
  <c r="D632" i="9"/>
  <c r="C633" i="9"/>
  <c r="AA633" i="9"/>
  <c r="D633" i="9"/>
  <c r="C634" i="9"/>
  <c r="AA634" i="9"/>
  <c r="D634" i="9"/>
  <c r="C635" i="9"/>
  <c r="AA635" i="9"/>
  <c r="D635" i="9"/>
  <c r="C636" i="9"/>
  <c r="AA636" i="9"/>
  <c r="D636" i="9"/>
  <c r="C637" i="9"/>
  <c r="AA637" i="9"/>
  <c r="D637" i="9"/>
  <c r="C638" i="9"/>
  <c r="AA638" i="9"/>
  <c r="D638" i="9"/>
  <c r="C639" i="9"/>
  <c r="AA639" i="9"/>
  <c r="D639" i="9"/>
  <c r="C640" i="9"/>
  <c r="AA640" i="9"/>
  <c r="D640" i="9"/>
  <c r="C641" i="9"/>
  <c r="AA641" i="9"/>
  <c r="D641" i="9"/>
  <c r="C642" i="9"/>
  <c r="AA642" i="9"/>
  <c r="D642" i="9"/>
  <c r="D627" i="9"/>
  <c r="C627" i="9"/>
  <c r="AA627" i="9"/>
  <c r="E642" i="9"/>
  <c r="C612" i="9"/>
  <c r="AA612" i="9"/>
  <c r="D612" i="9"/>
  <c r="C613" i="9"/>
  <c r="AA613" i="9"/>
  <c r="D613" i="9"/>
  <c r="C614" i="9"/>
  <c r="AA614" i="9"/>
  <c r="D614" i="9"/>
  <c r="C615" i="9"/>
  <c r="AA615" i="9"/>
  <c r="D615" i="9"/>
  <c r="C616" i="9"/>
  <c r="AA616" i="9"/>
  <c r="D616" i="9"/>
  <c r="C617" i="9"/>
  <c r="AA617" i="9"/>
  <c r="D617" i="9"/>
  <c r="C618" i="9"/>
  <c r="AA618" i="9"/>
  <c r="D618" i="9"/>
  <c r="C619" i="9"/>
  <c r="AA619" i="9"/>
  <c r="D619" i="9"/>
  <c r="C620" i="9"/>
  <c r="AA620" i="9"/>
  <c r="D620" i="9"/>
  <c r="C621" i="9"/>
  <c r="AA621" i="9"/>
  <c r="D621" i="9"/>
  <c r="C622" i="9"/>
  <c r="AA622" i="9"/>
  <c r="D622" i="9"/>
  <c r="C623" i="9"/>
  <c r="AA623" i="9"/>
  <c r="D623" i="9"/>
  <c r="C624" i="9"/>
  <c r="AA624" i="9"/>
  <c r="D624" i="9"/>
  <c r="C625" i="9"/>
  <c r="AA625" i="9"/>
  <c r="D625" i="9"/>
  <c r="C626" i="9"/>
  <c r="AA626" i="9"/>
  <c r="D626" i="9"/>
  <c r="D611" i="9"/>
  <c r="C611" i="9"/>
  <c r="AA611" i="9"/>
  <c r="E626" i="9"/>
  <c r="C596" i="9"/>
  <c r="AA596" i="9"/>
  <c r="D596" i="9"/>
  <c r="C597" i="9"/>
  <c r="AA597" i="9"/>
  <c r="D597" i="9"/>
  <c r="C598" i="9"/>
  <c r="AA598" i="9"/>
  <c r="D598" i="9"/>
  <c r="C599" i="9"/>
  <c r="AA599" i="9"/>
  <c r="D599" i="9"/>
  <c r="C600" i="9"/>
  <c r="AA600" i="9"/>
  <c r="D600" i="9"/>
  <c r="C601" i="9"/>
  <c r="AA601" i="9"/>
  <c r="D601" i="9"/>
  <c r="C602" i="9"/>
  <c r="AA602" i="9"/>
  <c r="D602" i="9"/>
  <c r="C603" i="9"/>
  <c r="AA603" i="9"/>
  <c r="D603" i="9"/>
  <c r="C604" i="9"/>
  <c r="AA604" i="9"/>
  <c r="D604" i="9"/>
  <c r="C605" i="9"/>
  <c r="AA605" i="9"/>
  <c r="D605" i="9"/>
  <c r="C606" i="9"/>
  <c r="AA606" i="9"/>
  <c r="D606" i="9"/>
  <c r="C607" i="9"/>
  <c r="AA607" i="9"/>
  <c r="D607" i="9"/>
  <c r="C608" i="9"/>
  <c r="AA608" i="9"/>
  <c r="D608" i="9"/>
  <c r="C609" i="9"/>
  <c r="AA609" i="9"/>
  <c r="D609" i="9"/>
  <c r="C610" i="9"/>
  <c r="AA610" i="9"/>
  <c r="D610" i="9"/>
  <c r="D595" i="9"/>
  <c r="C595" i="9"/>
  <c r="AA595" i="9"/>
  <c r="E610" i="9"/>
  <c r="C580" i="9"/>
  <c r="AA580" i="9"/>
  <c r="D580" i="9"/>
  <c r="C581" i="9"/>
  <c r="AA581" i="9"/>
  <c r="D581" i="9"/>
  <c r="C582" i="9"/>
  <c r="AA582" i="9"/>
  <c r="D582" i="9"/>
  <c r="C583" i="9"/>
  <c r="AA583" i="9"/>
  <c r="D583" i="9"/>
  <c r="C584" i="9"/>
  <c r="AA584" i="9"/>
  <c r="D584" i="9"/>
  <c r="C585" i="9"/>
  <c r="AA585" i="9"/>
  <c r="D585" i="9"/>
  <c r="C586" i="9"/>
  <c r="AA586" i="9"/>
  <c r="D586" i="9"/>
  <c r="C587" i="9"/>
  <c r="AA587" i="9"/>
  <c r="D587" i="9"/>
  <c r="C588" i="9"/>
  <c r="AA588" i="9"/>
  <c r="D588" i="9"/>
  <c r="C589" i="9"/>
  <c r="AA589" i="9"/>
  <c r="D589" i="9"/>
  <c r="C590" i="9"/>
  <c r="AA590" i="9"/>
  <c r="D590" i="9"/>
  <c r="C591" i="9"/>
  <c r="AA591" i="9"/>
  <c r="D591" i="9"/>
  <c r="C592" i="9"/>
  <c r="AA592" i="9"/>
  <c r="D592" i="9"/>
  <c r="C593" i="9"/>
  <c r="AA593" i="9"/>
  <c r="D593" i="9"/>
  <c r="C594" i="9"/>
  <c r="AA594" i="9"/>
  <c r="D594" i="9"/>
  <c r="E594" i="9"/>
  <c r="D579" i="9"/>
  <c r="C579" i="9"/>
  <c r="AA579" i="9"/>
  <c r="C564" i="9"/>
  <c r="AA564" i="9"/>
  <c r="D564" i="9"/>
  <c r="C565" i="9"/>
  <c r="AA565" i="9"/>
  <c r="D565" i="9"/>
  <c r="C566" i="9"/>
  <c r="AA566" i="9"/>
  <c r="D566" i="9"/>
  <c r="C567" i="9"/>
  <c r="AA567" i="9"/>
  <c r="D567" i="9"/>
  <c r="C568" i="9"/>
  <c r="AA568" i="9"/>
  <c r="D568" i="9"/>
  <c r="C569" i="9"/>
  <c r="AA569" i="9"/>
  <c r="D569" i="9"/>
  <c r="C570" i="9"/>
  <c r="AA570" i="9"/>
  <c r="D570" i="9"/>
  <c r="C571" i="9"/>
  <c r="AA571" i="9"/>
  <c r="D571" i="9"/>
  <c r="C572" i="9"/>
  <c r="AA572" i="9"/>
  <c r="D572" i="9"/>
  <c r="C573" i="9"/>
  <c r="AA573" i="9"/>
  <c r="D573" i="9"/>
  <c r="C574" i="9"/>
  <c r="AA574" i="9"/>
  <c r="D574" i="9"/>
  <c r="C575" i="9"/>
  <c r="AA575" i="9"/>
  <c r="D575" i="9"/>
  <c r="C576" i="9"/>
  <c r="AA576" i="9"/>
  <c r="D576" i="9"/>
  <c r="C577" i="9"/>
  <c r="AA577" i="9"/>
  <c r="D577" i="9"/>
  <c r="C578" i="9"/>
  <c r="AA578" i="9"/>
  <c r="D578" i="9"/>
  <c r="D563" i="9"/>
  <c r="C563" i="9"/>
  <c r="AA563" i="9"/>
  <c r="C548" i="9"/>
  <c r="AA548" i="9"/>
  <c r="D548" i="9"/>
  <c r="C549" i="9"/>
  <c r="AA549" i="9"/>
  <c r="D549" i="9"/>
  <c r="C550" i="9"/>
  <c r="AA550" i="9"/>
  <c r="D550" i="9"/>
  <c r="C551" i="9"/>
  <c r="AA551" i="9"/>
  <c r="D551" i="9"/>
  <c r="C552" i="9"/>
  <c r="AA552" i="9"/>
  <c r="D552" i="9"/>
  <c r="C553" i="9"/>
  <c r="AA553" i="9"/>
  <c r="D553" i="9"/>
  <c r="C554" i="9"/>
  <c r="AA554" i="9"/>
  <c r="D554" i="9"/>
  <c r="C555" i="9"/>
  <c r="AA555" i="9"/>
  <c r="D555" i="9"/>
  <c r="C556" i="9"/>
  <c r="AA556" i="9"/>
  <c r="D556" i="9"/>
  <c r="C557" i="9"/>
  <c r="AA557" i="9"/>
  <c r="D557" i="9"/>
  <c r="C558" i="9"/>
  <c r="AA558" i="9"/>
  <c r="D558" i="9"/>
  <c r="C559" i="9"/>
  <c r="AA559" i="9"/>
  <c r="D559" i="9"/>
  <c r="C560" i="9"/>
  <c r="AA560" i="9"/>
  <c r="D560" i="9"/>
  <c r="C561" i="9"/>
  <c r="AA561" i="9"/>
  <c r="D561" i="9"/>
  <c r="C562" i="9"/>
  <c r="AA562" i="9"/>
  <c r="D562" i="9"/>
  <c r="E578" i="9"/>
  <c r="D547" i="9"/>
  <c r="C547" i="9"/>
  <c r="AA547" i="9"/>
  <c r="E562" i="9"/>
  <c r="C532" i="9"/>
  <c r="AA532" i="9"/>
  <c r="D532" i="9"/>
  <c r="C533" i="9"/>
  <c r="AA533" i="9"/>
  <c r="D533" i="9"/>
  <c r="C534" i="9"/>
  <c r="AA534" i="9"/>
  <c r="D534" i="9"/>
  <c r="C535" i="9"/>
  <c r="AA535" i="9"/>
  <c r="D535" i="9"/>
  <c r="C536" i="9"/>
  <c r="AA536" i="9"/>
  <c r="D536" i="9"/>
  <c r="C537" i="9"/>
  <c r="AA537" i="9"/>
  <c r="D537" i="9"/>
  <c r="C538" i="9"/>
  <c r="AA538" i="9"/>
  <c r="D538" i="9"/>
  <c r="C539" i="9"/>
  <c r="AA539" i="9"/>
  <c r="D539" i="9"/>
  <c r="C540" i="9"/>
  <c r="AA540" i="9"/>
  <c r="D540" i="9"/>
  <c r="C541" i="9"/>
  <c r="AA541" i="9"/>
  <c r="D541" i="9"/>
  <c r="C542" i="9"/>
  <c r="AA542" i="9"/>
  <c r="D542" i="9"/>
  <c r="C543" i="9"/>
  <c r="AA543" i="9"/>
  <c r="D543" i="9"/>
  <c r="C544" i="9"/>
  <c r="AA544" i="9"/>
  <c r="D544" i="9"/>
  <c r="C545" i="9"/>
  <c r="AA545" i="9"/>
  <c r="D545" i="9"/>
  <c r="C546" i="9"/>
  <c r="AA546" i="9"/>
  <c r="D546" i="9"/>
  <c r="D531" i="9"/>
  <c r="C531" i="9"/>
  <c r="AA531" i="9"/>
  <c r="E546" i="9"/>
  <c r="C516" i="9"/>
  <c r="AA516" i="9"/>
  <c r="D516" i="9"/>
  <c r="C517" i="9"/>
  <c r="AA517" i="9"/>
  <c r="D517" i="9"/>
  <c r="C518" i="9"/>
  <c r="AA518" i="9"/>
  <c r="D518" i="9"/>
  <c r="C519" i="9"/>
  <c r="AA519" i="9"/>
  <c r="D519" i="9"/>
  <c r="C520" i="9"/>
  <c r="AA520" i="9"/>
  <c r="D520" i="9"/>
  <c r="C521" i="9"/>
  <c r="AA521" i="9"/>
  <c r="D521" i="9"/>
  <c r="C522" i="9"/>
  <c r="AA522" i="9"/>
  <c r="D522" i="9"/>
  <c r="C523" i="9"/>
  <c r="AA523" i="9"/>
  <c r="D523" i="9"/>
  <c r="C524" i="9"/>
  <c r="AA524" i="9"/>
  <c r="D524" i="9"/>
  <c r="C525" i="9"/>
  <c r="AA525" i="9"/>
  <c r="D525" i="9"/>
  <c r="C526" i="9"/>
  <c r="AA526" i="9"/>
  <c r="D526" i="9"/>
  <c r="C527" i="9"/>
  <c r="AA527" i="9"/>
  <c r="D527" i="9"/>
  <c r="C528" i="9"/>
  <c r="AA528" i="9"/>
  <c r="D528" i="9"/>
  <c r="C529" i="9"/>
  <c r="AA529" i="9"/>
  <c r="D529" i="9"/>
  <c r="C530" i="9"/>
  <c r="AA530" i="9"/>
  <c r="D530" i="9"/>
  <c r="D515" i="9"/>
  <c r="C515" i="9"/>
  <c r="AA515" i="9"/>
  <c r="E530" i="9"/>
  <c r="C500" i="9"/>
  <c r="AA500" i="9"/>
  <c r="D500" i="9"/>
  <c r="C501" i="9"/>
  <c r="AA501" i="9"/>
  <c r="D501" i="9"/>
  <c r="C502" i="9"/>
  <c r="AA502" i="9"/>
  <c r="D502" i="9"/>
  <c r="C503" i="9"/>
  <c r="AA503" i="9"/>
  <c r="D503" i="9"/>
  <c r="C504" i="9"/>
  <c r="AA504" i="9"/>
  <c r="D504" i="9"/>
  <c r="C505" i="9"/>
  <c r="AA505" i="9"/>
  <c r="D505" i="9"/>
  <c r="C506" i="9"/>
  <c r="AA506" i="9"/>
  <c r="D506" i="9"/>
  <c r="C507" i="9"/>
  <c r="AA507" i="9"/>
  <c r="D507" i="9"/>
  <c r="C508" i="9"/>
  <c r="AA508" i="9"/>
  <c r="D508" i="9"/>
  <c r="C509" i="9"/>
  <c r="AA509" i="9"/>
  <c r="D509" i="9"/>
  <c r="C510" i="9"/>
  <c r="AA510" i="9"/>
  <c r="D510" i="9"/>
  <c r="C511" i="9"/>
  <c r="AA511" i="9"/>
  <c r="D511" i="9"/>
  <c r="C512" i="9"/>
  <c r="AA512" i="9"/>
  <c r="D512" i="9"/>
  <c r="C513" i="9"/>
  <c r="AA513" i="9"/>
  <c r="D513" i="9"/>
  <c r="C514" i="9"/>
  <c r="AA514" i="9"/>
  <c r="D514" i="9"/>
  <c r="D499" i="9"/>
  <c r="C499" i="9"/>
  <c r="AA499" i="9"/>
  <c r="E514" i="9"/>
  <c r="C484" i="9"/>
  <c r="AA484" i="9"/>
  <c r="D484" i="9"/>
  <c r="C485" i="9"/>
  <c r="AA485" i="9"/>
  <c r="D485" i="9"/>
  <c r="C486" i="9"/>
  <c r="AA486" i="9"/>
  <c r="D486" i="9"/>
  <c r="C487" i="9"/>
  <c r="AA487" i="9"/>
  <c r="D487" i="9"/>
  <c r="C488" i="9"/>
  <c r="AA488" i="9"/>
  <c r="D488" i="9"/>
  <c r="C489" i="9"/>
  <c r="AA489" i="9"/>
  <c r="D489" i="9"/>
  <c r="C490" i="9"/>
  <c r="AA490" i="9"/>
  <c r="D490" i="9"/>
  <c r="C491" i="9"/>
  <c r="AA491" i="9"/>
  <c r="D491" i="9"/>
  <c r="C492" i="9"/>
  <c r="AA492" i="9"/>
  <c r="D492" i="9"/>
  <c r="C493" i="9"/>
  <c r="AA493" i="9"/>
  <c r="D493" i="9"/>
  <c r="C494" i="9"/>
  <c r="AA494" i="9"/>
  <c r="D494" i="9"/>
  <c r="C495" i="9"/>
  <c r="AA495" i="9"/>
  <c r="D495" i="9"/>
  <c r="C496" i="9"/>
  <c r="AA496" i="9"/>
  <c r="D496" i="9"/>
  <c r="C497" i="9"/>
  <c r="AA497" i="9"/>
  <c r="D497" i="9"/>
  <c r="C498" i="9"/>
  <c r="AA498" i="9"/>
  <c r="D498" i="9"/>
  <c r="D483" i="9"/>
  <c r="C483" i="9"/>
  <c r="AA483" i="9"/>
  <c r="E498" i="9"/>
  <c r="C468" i="9"/>
  <c r="AA468" i="9"/>
  <c r="D468" i="9"/>
  <c r="C469" i="9"/>
  <c r="AA469" i="9"/>
  <c r="D469" i="9"/>
  <c r="C470" i="9"/>
  <c r="AA470" i="9"/>
  <c r="D470" i="9"/>
  <c r="C471" i="9"/>
  <c r="AA471" i="9"/>
  <c r="D471" i="9"/>
  <c r="C472" i="9"/>
  <c r="AA472" i="9"/>
  <c r="D472" i="9"/>
  <c r="C473" i="9"/>
  <c r="AA473" i="9"/>
  <c r="D473" i="9"/>
  <c r="C474" i="9"/>
  <c r="AA474" i="9"/>
  <c r="D474" i="9"/>
  <c r="C475" i="9"/>
  <c r="AA475" i="9"/>
  <c r="D475" i="9"/>
  <c r="C476" i="9"/>
  <c r="AA476" i="9"/>
  <c r="D476" i="9"/>
  <c r="C477" i="9"/>
  <c r="AA477" i="9"/>
  <c r="D477" i="9"/>
  <c r="C478" i="9"/>
  <c r="AA478" i="9"/>
  <c r="D478" i="9"/>
  <c r="C479" i="9"/>
  <c r="AA479" i="9"/>
  <c r="D479" i="9"/>
  <c r="C480" i="9"/>
  <c r="AA480" i="9"/>
  <c r="D480" i="9"/>
  <c r="C481" i="9"/>
  <c r="AA481" i="9"/>
  <c r="D481" i="9"/>
  <c r="C482" i="9"/>
  <c r="AA482" i="9"/>
  <c r="D482" i="9"/>
  <c r="D467" i="9"/>
  <c r="C467" i="9"/>
  <c r="AA467" i="9"/>
  <c r="E482" i="9"/>
  <c r="C452" i="9"/>
  <c r="AA452" i="9"/>
  <c r="D452" i="9"/>
  <c r="C453" i="9"/>
  <c r="AA453" i="9"/>
  <c r="D453" i="9"/>
  <c r="C454" i="9"/>
  <c r="AA454" i="9"/>
  <c r="D454" i="9"/>
  <c r="C455" i="9"/>
  <c r="AA455" i="9"/>
  <c r="D455" i="9"/>
  <c r="C456" i="9"/>
  <c r="AA456" i="9"/>
  <c r="D456" i="9"/>
  <c r="C457" i="9"/>
  <c r="AA457" i="9"/>
  <c r="D457" i="9"/>
  <c r="C458" i="9"/>
  <c r="AA458" i="9"/>
  <c r="D458" i="9"/>
  <c r="C459" i="9"/>
  <c r="AA459" i="9"/>
  <c r="D459" i="9"/>
  <c r="C460" i="9"/>
  <c r="AA460" i="9"/>
  <c r="D460" i="9"/>
  <c r="C461" i="9"/>
  <c r="AA461" i="9"/>
  <c r="D461" i="9"/>
  <c r="C462" i="9"/>
  <c r="AA462" i="9"/>
  <c r="D462" i="9"/>
  <c r="C463" i="9"/>
  <c r="AA463" i="9"/>
  <c r="D463" i="9"/>
  <c r="C464" i="9"/>
  <c r="AA464" i="9"/>
  <c r="D464" i="9"/>
  <c r="C465" i="9"/>
  <c r="AA465" i="9"/>
  <c r="D465" i="9"/>
  <c r="C466" i="9"/>
  <c r="AA466" i="9"/>
  <c r="D466" i="9"/>
  <c r="D451" i="9"/>
  <c r="C451" i="9"/>
  <c r="AA451" i="9"/>
  <c r="E466" i="9"/>
  <c r="C436" i="9"/>
  <c r="AA436" i="9"/>
  <c r="D436" i="9"/>
  <c r="C437" i="9"/>
  <c r="AA437" i="9"/>
  <c r="D437" i="9"/>
  <c r="C438" i="9"/>
  <c r="AA438" i="9"/>
  <c r="D438" i="9"/>
  <c r="C439" i="9"/>
  <c r="AA439" i="9"/>
  <c r="D439" i="9"/>
  <c r="C440" i="9"/>
  <c r="AA440" i="9"/>
  <c r="D440" i="9"/>
  <c r="C441" i="9"/>
  <c r="AA441" i="9"/>
  <c r="D441" i="9"/>
  <c r="C442" i="9"/>
  <c r="AA442" i="9"/>
  <c r="D442" i="9"/>
  <c r="C443" i="9"/>
  <c r="AA443" i="9"/>
  <c r="D443" i="9"/>
  <c r="C444" i="9"/>
  <c r="AA444" i="9"/>
  <c r="D444" i="9"/>
  <c r="C445" i="9"/>
  <c r="AA445" i="9"/>
  <c r="D445" i="9"/>
  <c r="C446" i="9"/>
  <c r="AA446" i="9"/>
  <c r="D446" i="9"/>
  <c r="C447" i="9"/>
  <c r="AA447" i="9"/>
  <c r="D447" i="9"/>
  <c r="C448" i="9"/>
  <c r="AA448" i="9"/>
  <c r="D448" i="9"/>
  <c r="C449" i="9"/>
  <c r="AA449" i="9"/>
  <c r="D449" i="9"/>
  <c r="C450" i="9"/>
  <c r="AA450" i="9"/>
  <c r="D450" i="9"/>
  <c r="D435" i="9"/>
  <c r="C435" i="9"/>
  <c r="AA435" i="9"/>
  <c r="E450" i="9"/>
  <c r="C420" i="9"/>
  <c r="AA420" i="9"/>
  <c r="D420" i="9"/>
  <c r="C421" i="9"/>
  <c r="AA421" i="9"/>
  <c r="D421" i="9"/>
  <c r="C422" i="9"/>
  <c r="AA422" i="9"/>
  <c r="D422" i="9"/>
  <c r="C423" i="9"/>
  <c r="AA423" i="9"/>
  <c r="D423" i="9"/>
  <c r="C424" i="9"/>
  <c r="AA424" i="9"/>
  <c r="D424" i="9"/>
  <c r="C425" i="9"/>
  <c r="AA425" i="9"/>
  <c r="D425" i="9"/>
  <c r="C426" i="9"/>
  <c r="AA426" i="9"/>
  <c r="D426" i="9"/>
  <c r="C427" i="9"/>
  <c r="AA427" i="9"/>
  <c r="D427" i="9"/>
  <c r="C428" i="9"/>
  <c r="AA428" i="9"/>
  <c r="D428" i="9"/>
  <c r="C429" i="9"/>
  <c r="AA429" i="9"/>
  <c r="D429" i="9"/>
  <c r="C430" i="9"/>
  <c r="AA430" i="9"/>
  <c r="D430" i="9"/>
  <c r="C431" i="9"/>
  <c r="AA431" i="9"/>
  <c r="D431" i="9"/>
  <c r="C432" i="9"/>
  <c r="AA432" i="9"/>
  <c r="D432" i="9"/>
  <c r="C433" i="9"/>
  <c r="AA433" i="9"/>
  <c r="D433" i="9"/>
  <c r="C434" i="9"/>
  <c r="AA434" i="9"/>
  <c r="D434" i="9"/>
  <c r="D419" i="9"/>
  <c r="C419" i="9"/>
  <c r="AA419" i="9"/>
  <c r="E434" i="9"/>
  <c r="C404" i="9"/>
  <c r="AA404" i="9"/>
  <c r="D404" i="9"/>
  <c r="C405" i="9"/>
  <c r="AA405" i="9"/>
  <c r="D405" i="9"/>
  <c r="C406" i="9"/>
  <c r="AA406" i="9"/>
  <c r="D406" i="9"/>
  <c r="C407" i="9"/>
  <c r="AA407" i="9"/>
  <c r="D407" i="9"/>
  <c r="C408" i="9"/>
  <c r="AA408" i="9"/>
  <c r="D408" i="9"/>
  <c r="C409" i="9"/>
  <c r="AA409" i="9"/>
  <c r="D409" i="9"/>
  <c r="C410" i="9"/>
  <c r="AA410" i="9"/>
  <c r="D410" i="9"/>
  <c r="C411" i="9"/>
  <c r="AA411" i="9"/>
  <c r="D411" i="9"/>
  <c r="C412" i="9"/>
  <c r="AA412" i="9"/>
  <c r="D412" i="9"/>
  <c r="C413" i="9"/>
  <c r="AA413" i="9"/>
  <c r="D413" i="9"/>
  <c r="C414" i="9"/>
  <c r="AA414" i="9"/>
  <c r="D414" i="9"/>
  <c r="C415" i="9"/>
  <c r="AA415" i="9"/>
  <c r="D415" i="9"/>
  <c r="C416" i="9"/>
  <c r="AA416" i="9"/>
  <c r="D416" i="9"/>
  <c r="C417" i="9"/>
  <c r="AA417" i="9"/>
  <c r="D417" i="9"/>
  <c r="C418" i="9"/>
  <c r="AA418" i="9"/>
  <c r="D418" i="9"/>
  <c r="D403" i="9"/>
  <c r="C403" i="9"/>
  <c r="AA403" i="9"/>
  <c r="E418" i="9"/>
  <c r="C388" i="9"/>
  <c r="AA388" i="9"/>
  <c r="D388" i="9"/>
  <c r="C389" i="9"/>
  <c r="AA389" i="9"/>
  <c r="D389" i="9"/>
  <c r="C390" i="9"/>
  <c r="AA390" i="9"/>
  <c r="D390" i="9"/>
  <c r="C391" i="9"/>
  <c r="AA391" i="9"/>
  <c r="D391" i="9"/>
  <c r="C392" i="9"/>
  <c r="AA392" i="9"/>
  <c r="D392" i="9"/>
  <c r="C393" i="9"/>
  <c r="AA393" i="9"/>
  <c r="D393" i="9"/>
  <c r="C394" i="9"/>
  <c r="AA394" i="9"/>
  <c r="D394" i="9"/>
  <c r="C395" i="9"/>
  <c r="AA395" i="9"/>
  <c r="D395" i="9"/>
  <c r="C396" i="9"/>
  <c r="AA396" i="9"/>
  <c r="D396" i="9"/>
  <c r="C397" i="9"/>
  <c r="AA397" i="9"/>
  <c r="D397" i="9"/>
  <c r="C398" i="9"/>
  <c r="AA398" i="9"/>
  <c r="D398" i="9"/>
  <c r="C399" i="9"/>
  <c r="AA399" i="9"/>
  <c r="D399" i="9"/>
  <c r="C400" i="9"/>
  <c r="AA400" i="9"/>
  <c r="D400" i="9"/>
  <c r="C401" i="9"/>
  <c r="AA401" i="9"/>
  <c r="D401" i="9"/>
  <c r="C402" i="9"/>
  <c r="AA402" i="9"/>
  <c r="D402" i="9"/>
  <c r="D387" i="9"/>
  <c r="C387" i="9"/>
  <c r="AA387" i="9"/>
  <c r="E402" i="9"/>
  <c r="C372" i="9"/>
  <c r="AA372" i="9"/>
  <c r="D372" i="9"/>
  <c r="C373" i="9"/>
  <c r="AA373" i="9"/>
  <c r="D373" i="9"/>
  <c r="C374" i="9"/>
  <c r="AA374" i="9"/>
  <c r="D374" i="9"/>
  <c r="C375" i="9"/>
  <c r="AA375" i="9"/>
  <c r="D375" i="9"/>
  <c r="C376" i="9"/>
  <c r="AA376" i="9"/>
  <c r="D376" i="9"/>
  <c r="C377" i="9"/>
  <c r="AA377" i="9"/>
  <c r="D377" i="9"/>
  <c r="C378" i="9"/>
  <c r="AA378" i="9"/>
  <c r="D378" i="9"/>
  <c r="C379" i="9"/>
  <c r="AA379" i="9"/>
  <c r="D379" i="9"/>
  <c r="C380" i="9"/>
  <c r="AA380" i="9"/>
  <c r="D380" i="9"/>
  <c r="C381" i="9"/>
  <c r="AA381" i="9"/>
  <c r="D381" i="9"/>
  <c r="C382" i="9"/>
  <c r="AA382" i="9"/>
  <c r="D382" i="9"/>
  <c r="C383" i="9"/>
  <c r="AA383" i="9"/>
  <c r="D383" i="9"/>
  <c r="C384" i="9"/>
  <c r="AA384" i="9"/>
  <c r="D384" i="9"/>
  <c r="C385" i="9"/>
  <c r="AA385" i="9"/>
  <c r="D385" i="9"/>
  <c r="C386" i="9"/>
  <c r="AA386" i="9"/>
  <c r="D386" i="9"/>
  <c r="D371" i="9"/>
  <c r="C371" i="9"/>
  <c r="AA371" i="9"/>
  <c r="E386" i="9"/>
  <c r="C356" i="9"/>
  <c r="AA356" i="9"/>
  <c r="D356" i="9"/>
  <c r="C357" i="9"/>
  <c r="AA357" i="9"/>
  <c r="D357" i="9"/>
  <c r="C358" i="9"/>
  <c r="AA358" i="9"/>
  <c r="D358" i="9"/>
  <c r="C359" i="9"/>
  <c r="AA359" i="9"/>
  <c r="D359" i="9"/>
  <c r="C360" i="9"/>
  <c r="AA360" i="9"/>
  <c r="D360" i="9"/>
  <c r="C361" i="9"/>
  <c r="AA361" i="9"/>
  <c r="D361" i="9"/>
  <c r="C362" i="9"/>
  <c r="AA362" i="9"/>
  <c r="D362" i="9"/>
  <c r="C363" i="9"/>
  <c r="AA363" i="9"/>
  <c r="D363" i="9"/>
  <c r="C364" i="9"/>
  <c r="AA364" i="9"/>
  <c r="D364" i="9"/>
  <c r="C365" i="9"/>
  <c r="AA365" i="9"/>
  <c r="D365" i="9"/>
  <c r="C366" i="9"/>
  <c r="AA366" i="9"/>
  <c r="D366" i="9"/>
  <c r="C367" i="9"/>
  <c r="AA367" i="9"/>
  <c r="D367" i="9"/>
  <c r="C368" i="9"/>
  <c r="AA368" i="9"/>
  <c r="D368" i="9"/>
  <c r="C369" i="9"/>
  <c r="AA369" i="9"/>
  <c r="D369" i="9"/>
  <c r="C370" i="9"/>
  <c r="AA370" i="9"/>
  <c r="D370" i="9"/>
  <c r="D355" i="9"/>
  <c r="C355" i="9"/>
  <c r="AA355" i="9"/>
  <c r="E370" i="9"/>
  <c r="C340" i="9"/>
  <c r="AA340" i="9"/>
  <c r="D340" i="9"/>
  <c r="C341" i="9"/>
  <c r="AA341" i="9"/>
  <c r="D341" i="9"/>
  <c r="C342" i="9"/>
  <c r="AA342" i="9"/>
  <c r="D342" i="9"/>
  <c r="C343" i="9"/>
  <c r="AA343" i="9"/>
  <c r="D343" i="9"/>
  <c r="C344" i="9"/>
  <c r="AA344" i="9"/>
  <c r="D344" i="9"/>
  <c r="C345" i="9"/>
  <c r="AA345" i="9"/>
  <c r="D345" i="9"/>
  <c r="C346" i="9"/>
  <c r="AA346" i="9"/>
  <c r="D346" i="9"/>
  <c r="C347" i="9"/>
  <c r="AA347" i="9"/>
  <c r="D347" i="9"/>
  <c r="C348" i="9"/>
  <c r="AA348" i="9"/>
  <c r="D348" i="9"/>
  <c r="C349" i="9"/>
  <c r="AA349" i="9"/>
  <c r="D349" i="9"/>
  <c r="C350" i="9"/>
  <c r="AA350" i="9"/>
  <c r="D350" i="9"/>
  <c r="C351" i="9"/>
  <c r="AA351" i="9"/>
  <c r="D351" i="9"/>
  <c r="C352" i="9"/>
  <c r="AA352" i="9"/>
  <c r="D352" i="9"/>
  <c r="C353" i="9"/>
  <c r="AA353" i="9"/>
  <c r="D353" i="9"/>
  <c r="C354" i="9"/>
  <c r="AA354" i="9"/>
  <c r="D354" i="9"/>
  <c r="D339" i="9"/>
  <c r="C339" i="9"/>
  <c r="AA339" i="9"/>
  <c r="E354" i="9"/>
  <c r="C324" i="9"/>
  <c r="AA324" i="9"/>
  <c r="D324" i="9"/>
  <c r="C325" i="9"/>
  <c r="AA325" i="9"/>
  <c r="D325" i="9"/>
  <c r="C326" i="9"/>
  <c r="AA326" i="9"/>
  <c r="D326" i="9"/>
  <c r="C327" i="9"/>
  <c r="AA327" i="9"/>
  <c r="D327" i="9"/>
  <c r="C328" i="9"/>
  <c r="AA328" i="9"/>
  <c r="D328" i="9"/>
  <c r="C329" i="9"/>
  <c r="AA329" i="9"/>
  <c r="D329" i="9"/>
  <c r="C330" i="9"/>
  <c r="AA330" i="9"/>
  <c r="D330" i="9"/>
  <c r="C331" i="9"/>
  <c r="AA331" i="9"/>
  <c r="D331" i="9"/>
  <c r="C332" i="9"/>
  <c r="AA332" i="9"/>
  <c r="D332" i="9"/>
  <c r="C333" i="9"/>
  <c r="AA333" i="9"/>
  <c r="D333" i="9"/>
  <c r="C334" i="9"/>
  <c r="AA334" i="9"/>
  <c r="D334" i="9"/>
  <c r="C335" i="9"/>
  <c r="AA335" i="9"/>
  <c r="D335" i="9"/>
  <c r="C336" i="9"/>
  <c r="AA336" i="9"/>
  <c r="D336" i="9"/>
  <c r="C337" i="9"/>
  <c r="AA337" i="9"/>
  <c r="D337" i="9"/>
  <c r="C338" i="9"/>
  <c r="AA338" i="9"/>
  <c r="D338" i="9"/>
  <c r="D323" i="9"/>
  <c r="C323" i="9"/>
  <c r="AA323" i="9"/>
  <c r="E338" i="9"/>
  <c r="C308" i="9"/>
  <c r="AA308" i="9"/>
  <c r="D308" i="9"/>
  <c r="C309" i="9"/>
  <c r="AA309" i="9"/>
  <c r="D309" i="9"/>
  <c r="C310" i="9"/>
  <c r="AA310" i="9"/>
  <c r="D310" i="9"/>
  <c r="C311" i="9"/>
  <c r="AA311" i="9"/>
  <c r="D311" i="9"/>
  <c r="C312" i="9"/>
  <c r="AA312" i="9"/>
  <c r="D312" i="9"/>
  <c r="C313" i="9"/>
  <c r="AA313" i="9"/>
  <c r="D313" i="9"/>
  <c r="C314" i="9"/>
  <c r="AA314" i="9"/>
  <c r="D314" i="9"/>
  <c r="C315" i="9"/>
  <c r="AA315" i="9"/>
  <c r="D315" i="9"/>
  <c r="C316" i="9"/>
  <c r="AA316" i="9"/>
  <c r="D316" i="9"/>
  <c r="C317" i="9"/>
  <c r="AA317" i="9"/>
  <c r="D317" i="9"/>
  <c r="C318" i="9"/>
  <c r="AA318" i="9"/>
  <c r="D318" i="9"/>
  <c r="C319" i="9"/>
  <c r="AA319" i="9"/>
  <c r="D319" i="9"/>
  <c r="C320" i="9"/>
  <c r="AA320" i="9"/>
  <c r="D320" i="9"/>
  <c r="C321" i="9"/>
  <c r="AA321" i="9"/>
  <c r="D321" i="9"/>
  <c r="C322" i="9"/>
  <c r="AA322" i="9"/>
  <c r="D322" i="9"/>
  <c r="D307" i="9"/>
  <c r="C307" i="9"/>
  <c r="AA307" i="9"/>
  <c r="E322" i="9"/>
  <c r="C292" i="9"/>
  <c r="AA292" i="9"/>
  <c r="D292" i="9"/>
  <c r="C293" i="9"/>
  <c r="AA293" i="9"/>
  <c r="D293" i="9"/>
  <c r="C294" i="9"/>
  <c r="AA294" i="9"/>
  <c r="D294" i="9"/>
  <c r="C295" i="9"/>
  <c r="AA295" i="9"/>
  <c r="D295" i="9"/>
  <c r="C296" i="9"/>
  <c r="AA296" i="9"/>
  <c r="D296" i="9"/>
  <c r="C297" i="9"/>
  <c r="AA297" i="9"/>
  <c r="D297" i="9"/>
  <c r="C298" i="9"/>
  <c r="AA298" i="9"/>
  <c r="D298" i="9"/>
  <c r="C299" i="9"/>
  <c r="AA299" i="9"/>
  <c r="D299" i="9"/>
  <c r="C300" i="9"/>
  <c r="AA300" i="9"/>
  <c r="D300" i="9"/>
  <c r="C301" i="9"/>
  <c r="AA301" i="9"/>
  <c r="D301" i="9"/>
  <c r="C302" i="9"/>
  <c r="AA302" i="9"/>
  <c r="D302" i="9"/>
  <c r="C303" i="9"/>
  <c r="AA303" i="9"/>
  <c r="D303" i="9"/>
  <c r="C304" i="9"/>
  <c r="AA304" i="9"/>
  <c r="D304" i="9"/>
  <c r="C305" i="9"/>
  <c r="AA305" i="9"/>
  <c r="D305" i="9"/>
  <c r="C306" i="9"/>
  <c r="AA306" i="9"/>
  <c r="D306" i="9"/>
  <c r="D291" i="9"/>
  <c r="C291" i="9"/>
  <c r="AA291" i="9"/>
  <c r="E306" i="9"/>
  <c r="C276" i="9"/>
  <c r="AA276" i="9"/>
  <c r="D276" i="9"/>
  <c r="C277" i="9"/>
  <c r="AA277" i="9"/>
  <c r="D277" i="9"/>
  <c r="C278" i="9"/>
  <c r="AA278" i="9"/>
  <c r="D278" i="9"/>
  <c r="C279" i="9"/>
  <c r="AA279" i="9"/>
  <c r="D279" i="9"/>
  <c r="C280" i="9"/>
  <c r="AA280" i="9"/>
  <c r="D280" i="9"/>
  <c r="C281" i="9"/>
  <c r="AA281" i="9"/>
  <c r="D281" i="9"/>
  <c r="C282" i="9"/>
  <c r="AA282" i="9"/>
  <c r="D282" i="9"/>
  <c r="C283" i="9"/>
  <c r="AA283" i="9"/>
  <c r="D283" i="9"/>
  <c r="C284" i="9"/>
  <c r="AA284" i="9"/>
  <c r="D284" i="9"/>
  <c r="C285" i="9"/>
  <c r="AA285" i="9"/>
  <c r="D285" i="9"/>
  <c r="C286" i="9"/>
  <c r="AA286" i="9"/>
  <c r="D286" i="9"/>
  <c r="C287" i="9"/>
  <c r="AA287" i="9"/>
  <c r="D287" i="9"/>
  <c r="C288" i="9"/>
  <c r="AA288" i="9"/>
  <c r="D288" i="9"/>
  <c r="C289" i="9"/>
  <c r="AA289" i="9"/>
  <c r="D289" i="9"/>
  <c r="C290" i="9"/>
  <c r="AA290" i="9"/>
  <c r="D290" i="9"/>
  <c r="E290" i="9"/>
  <c r="D275" i="9"/>
  <c r="C275" i="9"/>
  <c r="AA275" i="9"/>
  <c r="C260" i="9"/>
  <c r="AA260" i="9"/>
  <c r="D260" i="9"/>
  <c r="C261" i="9"/>
  <c r="AA261" i="9"/>
  <c r="D261" i="9"/>
  <c r="C262" i="9"/>
  <c r="AA262" i="9"/>
  <c r="D262" i="9"/>
  <c r="C263" i="9"/>
  <c r="AA263" i="9"/>
  <c r="D263" i="9"/>
  <c r="C264" i="9"/>
  <c r="AA264" i="9"/>
  <c r="D264" i="9"/>
  <c r="C265" i="9"/>
  <c r="AA265" i="9"/>
  <c r="D265" i="9"/>
  <c r="C266" i="9"/>
  <c r="AA266" i="9"/>
  <c r="D266" i="9"/>
  <c r="C267" i="9"/>
  <c r="AA267" i="9"/>
  <c r="D267" i="9"/>
  <c r="C268" i="9"/>
  <c r="AA268" i="9"/>
  <c r="D268" i="9"/>
  <c r="C269" i="9"/>
  <c r="AA269" i="9"/>
  <c r="D269" i="9"/>
  <c r="C270" i="9"/>
  <c r="AA270" i="9"/>
  <c r="D270" i="9"/>
  <c r="C271" i="9"/>
  <c r="AA271" i="9"/>
  <c r="D271" i="9"/>
  <c r="C272" i="9"/>
  <c r="AA272" i="9"/>
  <c r="D272" i="9"/>
  <c r="C273" i="9"/>
  <c r="AA273" i="9"/>
  <c r="D273" i="9"/>
  <c r="C274" i="9"/>
  <c r="AA274" i="9"/>
  <c r="D274" i="9"/>
  <c r="E274" i="9"/>
  <c r="D259" i="9"/>
  <c r="C259" i="9"/>
  <c r="AA259" i="9"/>
  <c r="C244" i="9"/>
  <c r="AA244" i="9"/>
  <c r="D244" i="9"/>
  <c r="C245" i="9"/>
  <c r="AA245" i="9"/>
  <c r="D245" i="9"/>
  <c r="C246" i="9"/>
  <c r="AA246" i="9"/>
  <c r="D246" i="9"/>
  <c r="C247" i="9"/>
  <c r="AA247" i="9"/>
  <c r="D247" i="9"/>
  <c r="C248" i="9"/>
  <c r="AA248" i="9"/>
  <c r="D248" i="9"/>
  <c r="C249" i="9"/>
  <c r="AA249" i="9"/>
  <c r="D249" i="9"/>
  <c r="C250" i="9"/>
  <c r="AA250" i="9"/>
  <c r="D250" i="9"/>
  <c r="C251" i="9"/>
  <c r="AA251" i="9"/>
  <c r="D251" i="9"/>
  <c r="C252" i="9"/>
  <c r="AA252" i="9"/>
  <c r="D252" i="9"/>
  <c r="C253" i="9"/>
  <c r="AA253" i="9"/>
  <c r="D253" i="9"/>
  <c r="C254" i="9"/>
  <c r="AA254" i="9"/>
  <c r="D254" i="9"/>
  <c r="C255" i="9"/>
  <c r="AA255" i="9"/>
  <c r="D255" i="9"/>
  <c r="C256" i="9"/>
  <c r="AA256" i="9"/>
  <c r="D256" i="9"/>
  <c r="C257" i="9"/>
  <c r="AA257" i="9"/>
  <c r="D257" i="9"/>
  <c r="C258" i="9"/>
  <c r="AA258" i="9"/>
  <c r="D258" i="9"/>
  <c r="D243" i="9"/>
  <c r="C243" i="9"/>
  <c r="AA243" i="9"/>
  <c r="E258" i="9"/>
  <c r="C228" i="9"/>
  <c r="AA228" i="9"/>
  <c r="D228" i="9"/>
  <c r="C229" i="9"/>
  <c r="AA229" i="9"/>
  <c r="D229" i="9"/>
  <c r="C230" i="9"/>
  <c r="AA230" i="9"/>
  <c r="D230" i="9"/>
  <c r="C231" i="9"/>
  <c r="AA231" i="9"/>
  <c r="D231" i="9"/>
  <c r="C232" i="9"/>
  <c r="AA232" i="9"/>
  <c r="D232" i="9"/>
  <c r="C233" i="9"/>
  <c r="AA233" i="9"/>
  <c r="D233" i="9"/>
  <c r="C234" i="9"/>
  <c r="AA234" i="9"/>
  <c r="D234" i="9"/>
  <c r="C235" i="9"/>
  <c r="AA235" i="9"/>
  <c r="D235" i="9"/>
  <c r="C236" i="9"/>
  <c r="AA236" i="9"/>
  <c r="D236" i="9"/>
  <c r="C237" i="9"/>
  <c r="AA237" i="9"/>
  <c r="D237" i="9"/>
  <c r="C238" i="9"/>
  <c r="AA238" i="9"/>
  <c r="D238" i="9"/>
  <c r="C239" i="9"/>
  <c r="AA239" i="9"/>
  <c r="D239" i="9"/>
  <c r="C240" i="9"/>
  <c r="AA240" i="9"/>
  <c r="D240" i="9"/>
  <c r="C241" i="9"/>
  <c r="AA241" i="9"/>
  <c r="D241" i="9"/>
  <c r="C242" i="9"/>
  <c r="AA242" i="9"/>
  <c r="D242" i="9"/>
  <c r="D227" i="9"/>
  <c r="C227" i="9"/>
  <c r="AA227" i="9"/>
  <c r="E242" i="9"/>
  <c r="C212" i="9"/>
  <c r="AA212" i="9"/>
  <c r="D212" i="9"/>
  <c r="C213" i="9"/>
  <c r="AA213" i="9"/>
  <c r="D213" i="9"/>
  <c r="C214" i="9"/>
  <c r="AA214" i="9"/>
  <c r="D214" i="9"/>
  <c r="C215" i="9"/>
  <c r="AA215" i="9"/>
  <c r="D215" i="9"/>
  <c r="C216" i="9"/>
  <c r="AA216" i="9"/>
  <c r="D216" i="9"/>
  <c r="C217" i="9"/>
  <c r="AA217" i="9"/>
  <c r="D217" i="9"/>
  <c r="C218" i="9"/>
  <c r="AA218" i="9"/>
  <c r="D218" i="9"/>
  <c r="C219" i="9"/>
  <c r="AA219" i="9"/>
  <c r="D219" i="9"/>
  <c r="C220" i="9"/>
  <c r="AA220" i="9"/>
  <c r="D220" i="9"/>
  <c r="C221" i="9"/>
  <c r="AA221" i="9"/>
  <c r="D221" i="9"/>
  <c r="C222" i="9"/>
  <c r="AA222" i="9"/>
  <c r="D222" i="9"/>
  <c r="C223" i="9"/>
  <c r="AA223" i="9"/>
  <c r="D223" i="9"/>
  <c r="C224" i="9"/>
  <c r="AA224" i="9"/>
  <c r="D224" i="9"/>
  <c r="C225" i="9"/>
  <c r="AA225" i="9"/>
  <c r="D225" i="9"/>
  <c r="C226" i="9"/>
  <c r="AA226" i="9"/>
  <c r="D226" i="9"/>
  <c r="D211" i="9"/>
  <c r="C211" i="9"/>
  <c r="AA211" i="9"/>
  <c r="E226" i="9"/>
  <c r="C196" i="9"/>
  <c r="AA196" i="9"/>
  <c r="D196" i="9"/>
  <c r="C197" i="9"/>
  <c r="AA197" i="9"/>
  <c r="D197" i="9"/>
  <c r="C198" i="9"/>
  <c r="AA198" i="9"/>
  <c r="D198" i="9"/>
  <c r="C199" i="9"/>
  <c r="AA199" i="9"/>
  <c r="D199" i="9"/>
  <c r="C200" i="9"/>
  <c r="AA200" i="9"/>
  <c r="D200" i="9"/>
  <c r="C201" i="9"/>
  <c r="AA201" i="9"/>
  <c r="D201" i="9"/>
  <c r="C202" i="9"/>
  <c r="AA202" i="9"/>
  <c r="D202" i="9"/>
  <c r="C203" i="9"/>
  <c r="AA203" i="9"/>
  <c r="D203" i="9"/>
  <c r="C204" i="9"/>
  <c r="AA204" i="9"/>
  <c r="D204" i="9"/>
  <c r="C205" i="9"/>
  <c r="AA205" i="9"/>
  <c r="D205" i="9"/>
  <c r="C206" i="9"/>
  <c r="AA206" i="9"/>
  <c r="D206" i="9"/>
  <c r="C207" i="9"/>
  <c r="AA207" i="9"/>
  <c r="D207" i="9"/>
  <c r="C208" i="9"/>
  <c r="AA208" i="9"/>
  <c r="D208" i="9"/>
  <c r="C209" i="9"/>
  <c r="AA209" i="9"/>
  <c r="D209" i="9"/>
  <c r="C210" i="9"/>
  <c r="AA210" i="9"/>
  <c r="D210" i="9"/>
  <c r="D195" i="9"/>
  <c r="C195" i="9"/>
  <c r="AA195" i="9"/>
  <c r="E210" i="9"/>
  <c r="C180" i="9"/>
  <c r="AA180" i="9"/>
  <c r="D180" i="9"/>
  <c r="C181" i="9"/>
  <c r="AA181" i="9"/>
  <c r="D181" i="9"/>
  <c r="C182" i="9"/>
  <c r="AA182" i="9"/>
  <c r="D182" i="9"/>
  <c r="C183" i="9"/>
  <c r="AA183" i="9"/>
  <c r="D183" i="9"/>
  <c r="C184" i="9"/>
  <c r="AA184" i="9"/>
  <c r="D184" i="9"/>
  <c r="C185" i="9"/>
  <c r="AA185" i="9"/>
  <c r="D185" i="9"/>
  <c r="C186" i="9"/>
  <c r="AA186" i="9"/>
  <c r="D186" i="9"/>
  <c r="C187" i="9"/>
  <c r="AA187" i="9"/>
  <c r="D187" i="9"/>
  <c r="C188" i="9"/>
  <c r="AA188" i="9"/>
  <c r="D188" i="9"/>
  <c r="C189" i="9"/>
  <c r="AA189" i="9"/>
  <c r="D189" i="9"/>
  <c r="C190" i="9"/>
  <c r="AA190" i="9"/>
  <c r="D190" i="9"/>
  <c r="C191" i="9"/>
  <c r="AA191" i="9"/>
  <c r="D191" i="9"/>
  <c r="C192" i="9"/>
  <c r="AA192" i="9"/>
  <c r="D192" i="9"/>
  <c r="C193" i="9"/>
  <c r="AA193" i="9"/>
  <c r="D193" i="9"/>
  <c r="C194" i="9"/>
  <c r="AA194" i="9"/>
  <c r="D194" i="9"/>
  <c r="D179" i="9"/>
  <c r="C179" i="9"/>
  <c r="AA179" i="9"/>
  <c r="E194" i="9"/>
  <c r="C164" i="9"/>
  <c r="AA164" i="9"/>
  <c r="D164" i="9"/>
  <c r="C165" i="9"/>
  <c r="AA165" i="9"/>
  <c r="D165" i="9"/>
  <c r="C166" i="9"/>
  <c r="AA166" i="9"/>
  <c r="D166" i="9"/>
  <c r="C167" i="9"/>
  <c r="AA167" i="9"/>
  <c r="D167" i="9"/>
  <c r="C168" i="9"/>
  <c r="AA168" i="9"/>
  <c r="D168" i="9"/>
  <c r="C169" i="9"/>
  <c r="AA169" i="9"/>
  <c r="D169" i="9"/>
  <c r="C170" i="9"/>
  <c r="AA170" i="9"/>
  <c r="D170" i="9"/>
  <c r="C171" i="9"/>
  <c r="AA171" i="9"/>
  <c r="D171" i="9"/>
  <c r="C172" i="9"/>
  <c r="AA172" i="9"/>
  <c r="D172" i="9"/>
  <c r="C173" i="9"/>
  <c r="AA173" i="9"/>
  <c r="D173" i="9"/>
  <c r="C174" i="9"/>
  <c r="AA174" i="9"/>
  <c r="D174" i="9"/>
  <c r="C175" i="9"/>
  <c r="AA175" i="9"/>
  <c r="D175" i="9"/>
  <c r="C176" i="9"/>
  <c r="AA176" i="9"/>
  <c r="D176" i="9"/>
  <c r="C177" i="9"/>
  <c r="AA177" i="9"/>
  <c r="D177" i="9"/>
  <c r="C178" i="9"/>
  <c r="AA178" i="9"/>
  <c r="D178" i="9"/>
  <c r="D163" i="9"/>
  <c r="C163" i="9"/>
  <c r="AA163" i="9"/>
  <c r="E178" i="9"/>
  <c r="C148" i="9"/>
  <c r="AA148" i="9"/>
  <c r="D148" i="9"/>
  <c r="C149" i="9"/>
  <c r="AA149" i="9"/>
  <c r="D149" i="9"/>
  <c r="C150" i="9"/>
  <c r="AA150" i="9"/>
  <c r="D150" i="9"/>
  <c r="C151" i="9"/>
  <c r="AA151" i="9"/>
  <c r="D151" i="9"/>
  <c r="C152" i="9"/>
  <c r="AA152" i="9"/>
  <c r="D152" i="9"/>
  <c r="C153" i="9"/>
  <c r="AA153" i="9"/>
  <c r="D153" i="9"/>
  <c r="C154" i="9"/>
  <c r="AA154" i="9"/>
  <c r="D154" i="9"/>
  <c r="C155" i="9"/>
  <c r="AA155" i="9"/>
  <c r="D155" i="9"/>
  <c r="C156" i="9"/>
  <c r="AA156" i="9"/>
  <c r="D156" i="9"/>
  <c r="C157" i="9"/>
  <c r="AA157" i="9"/>
  <c r="D157" i="9"/>
  <c r="C158" i="9"/>
  <c r="AA158" i="9"/>
  <c r="D158" i="9"/>
  <c r="C159" i="9"/>
  <c r="AA159" i="9"/>
  <c r="D159" i="9"/>
  <c r="C160" i="9"/>
  <c r="AA160" i="9"/>
  <c r="D160" i="9"/>
  <c r="C161" i="9"/>
  <c r="AA161" i="9"/>
  <c r="D161" i="9"/>
  <c r="C162" i="9"/>
  <c r="AA162" i="9"/>
  <c r="D162" i="9"/>
  <c r="E162" i="9"/>
  <c r="D147" i="9"/>
  <c r="C147" i="9"/>
  <c r="AA147" i="9"/>
  <c r="C132" i="9"/>
  <c r="AA132" i="9"/>
  <c r="D132" i="9"/>
  <c r="C133" i="9"/>
  <c r="AA133" i="9"/>
  <c r="D133" i="9"/>
  <c r="C134" i="9"/>
  <c r="AA134" i="9"/>
  <c r="D134" i="9"/>
  <c r="C135" i="9"/>
  <c r="AA135" i="9"/>
  <c r="D135" i="9"/>
  <c r="C136" i="9"/>
  <c r="AA136" i="9"/>
  <c r="D136" i="9"/>
  <c r="C137" i="9"/>
  <c r="AA137" i="9"/>
  <c r="D137" i="9"/>
  <c r="C138" i="9"/>
  <c r="AA138" i="9"/>
  <c r="D138" i="9"/>
  <c r="C139" i="9"/>
  <c r="AA139" i="9"/>
  <c r="D139" i="9"/>
  <c r="C140" i="9"/>
  <c r="AA140" i="9"/>
  <c r="D140" i="9"/>
  <c r="C141" i="9"/>
  <c r="AA141" i="9"/>
  <c r="D141" i="9"/>
  <c r="C142" i="9"/>
  <c r="AA142" i="9"/>
  <c r="D142" i="9"/>
  <c r="C143" i="9"/>
  <c r="AA143" i="9"/>
  <c r="D143" i="9"/>
  <c r="C144" i="9"/>
  <c r="AA144" i="9"/>
  <c r="D144" i="9"/>
  <c r="C145" i="9"/>
  <c r="AA145" i="9"/>
  <c r="D145" i="9"/>
  <c r="C146" i="9"/>
  <c r="AA146" i="9"/>
  <c r="D146" i="9"/>
  <c r="D131" i="9"/>
  <c r="C131" i="9"/>
  <c r="AA131" i="9"/>
  <c r="E146" i="9"/>
  <c r="C116" i="9"/>
  <c r="AA116" i="9"/>
  <c r="D116" i="9"/>
  <c r="C117" i="9"/>
  <c r="AA117" i="9"/>
  <c r="D117" i="9"/>
  <c r="C118" i="9"/>
  <c r="AA118" i="9"/>
  <c r="D118" i="9"/>
  <c r="C119" i="9"/>
  <c r="AA119" i="9"/>
  <c r="D119" i="9"/>
  <c r="C120" i="9"/>
  <c r="AA120" i="9"/>
  <c r="D120" i="9"/>
  <c r="C121" i="9"/>
  <c r="AA121" i="9"/>
  <c r="D121" i="9"/>
  <c r="C122" i="9"/>
  <c r="AA122" i="9"/>
  <c r="D122" i="9"/>
  <c r="C123" i="9"/>
  <c r="AA123" i="9"/>
  <c r="D123" i="9"/>
  <c r="C124" i="9"/>
  <c r="AA124" i="9"/>
  <c r="D124" i="9"/>
  <c r="C125" i="9"/>
  <c r="AA125" i="9"/>
  <c r="D125" i="9"/>
  <c r="C126" i="9"/>
  <c r="AA126" i="9"/>
  <c r="D126" i="9"/>
  <c r="C127" i="9"/>
  <c r="AA127" i="9"/>
  <c r="D127" i="9"/>
  <c r="C128" i="9"/>
  <c r="AA128" i="9"/>
  <c r="D128" i="9"/>
  <c r="C129" i="9"/>
  <c r="AA129" i="9"/>
  <c r="D129" i="9"/>
  <c r="C130" i="9"/>
  <c r="AA130" i="9"/>
  <c r="D130" i="9"/>
  <c r="D115" i="9"/>
  <c r="C115" i="9"/>
  <c r="AA115" i="9"/>
  <c r="E130" i="9"/>
  <c r="C100" i="9"/>
  <c r="AA100" i="9"/>
  <c r="D100" i="9"/>
  <c r="C101" i="9"/>
  <c r="AA101" i="9"/>
  <c r="D101" i="9"/>
  <c r="C102" i="9"/>
  <c r="AA102" i="9"/>
  <c r="D102" i="9"/>
  <c r="C103" i="9"/>
  <c r="AA103" i="9"/>
  <c r="D103" i="9"/>
  <c r="C104" i="9"/>
  <c r="AA104" i="9"/>
  <c r="D104" i="9"/>
  <c r="C105" i="9"/>
  <c r="AA105" i="9"/>
  <c r="D105" i="9"/>
  <c r="C106" i="9"/>
  <c r="AA106" i="9"/>
  <c r="D106" i="9"/>
  <c r="C107" i="9"/>
  <c r="AA107" i="9"/>
  <c r="D107" i="9"/>
  <c r="C108" i="9"/>
  <c r="AA108" i="9"/>
  <c r="D108" i="9"/>
  <c r="C109" i="9"/>
  <c r="AA109" i="9"/>
  <c r="D109" i="9"/>
  <c r="C110" i="9"/>
  <c r="AA110" i="9"/>
  <c r="D110" i="9"/>
  <c r="C111" i="9"/>
  <c r="AA111" i="9"/>
  <c r="D111" i="9"/>
  <c r="C112" i="9"/>
  <c r="AA112" i="9"/>
  <c r="D112" i="9"/>
  <c r="C113" i="9"/>
  <c r="AA113" i="9"/>
  <c r="D113" i="9"/>
  <c r="C114" i="9"/>
  <c r="AA114" i="9"/>
  <c r="D114" i="9"/>
  <c r="D99" i="9"/>
  <c r="C99" i="9"/>
  <c r="AA99" i="9"/>
  <c r="E114" i="9"/>
  <c r="C84" i="9"/>
  <c r="AA84" i="9"/>
  <c r="D84" i="9"/>
  <c r="C85" i="9"/>
  <c r="AA85" i="9"/>
  <c r="D85" i="9"/>
  <c r="C86" i="9"/>
  <c r="AA86" i="9"/>
  <c r="D86" i="9"/>
  <c r="C87" i="9"/>
  <c r="AA87" i="9"/>
  <c r="D87" i="9"/>
  <c r="C88" i="9"/>
  <c r="AA88" i="9"/>
  <c r="D88" i="9"/>
  <c r="C89" i="9"/>
  <c r="AA89" i="9"/>
  <c r="D89" i="9"/>
  <c r="C90" i="9"/>
  <c r="AA90" i="9"/>
  <c r="D90" i="9"/>
  <c r="C91" i="9"/>
  <c r="AA91" i="9"/>
  <c r="D91" i="9"/>
  <c r="C92" i="9"/>
  <c r="AA92" i="9"/>
  <c r="D92" i="9"/>
  <c r="C93" i="9"/>
  <c r="AA93" i="9"/>
  <c r="D93" i="9"/>
  <c r="C94" i="9"/>
  <c r="AA94" i="9"/>
  <c r="D94" i="9"/>
  <c r="C95" i="9"/>
  <c r="AA95" i="9"/>
  <c r="D95" i="9"/>
  <c r="C96" i="9"/>
  <c r="AA96" i="9"/>
  <c r="D96" i="9"/>
  <c r="C97" i="9"/>
  <c r="AA97" i="9"/>
  <c r="D97" i="9"/>
  <c r="C98" i="9"/>
  <c r="AA98" i="9"/>
  <c r="D98" i="9"/>
  <c r="D83" i="9"/>
  <c r="C83" i="9"/>
  <c r="AA83" i="9"/>
  <c r="E98" i="9"/>
  <c r="C68" i="9"/>
  <c r="AA68" i="9"/>
  <c r="D68" i="9"/>
  <c r="C69" i="9"/>
  <c r="AA69" i="9"/>
  <c r="D69" i="9"/>
  <c r="C70" i="9"/>
  <c r="AA70" i="9"/>
  <c r="D70" i="9"/>
  <c r="C71" i="9"/>
  <c r="AA71" i="9"/>
  <c r="D71" i="9"/>
  <c r="C72" i="9"/>
  <c r="AA72" i="9"/>
  <c r="D72" i="9"/>
  <c r="C73" i="9"/>
  <c r="AA73" i="9"/>
  <c r="D73" i="9"/>
  <c r="C74" i="9"/>
  <c r="AA74" i="9"/>
  <c r="D74" i="9"/>
  <c r="C75" i="9"/>
  <c r="AA75" i="9"/>
  <c r="D75" i="9"/>
  <c r="C76" i="9"/>
  <c r="AA76" i="9"/>
  <c r="D76" i="9"/>
  <c r="C77" i="9"/>
  <c r="AA77" i="9"/>
  <c r="D77" i="9"/>
  <c r="C78" i="9"/>
  <c r="AA78" i="9"/>
  <c r="D78" i="9"/>
  <c r="C79" i="9"/>
  <c r="AA79" i="9"/>
  <c r="D79" i="9"/>
  <c r="C80" i="9"/>
  <c r="AA80" i="9"/>
  <c r="D80" i="9"/>
  <c r="C81" i="9"/>
  <c r="AA81" i="9"/>
  <c r="D81" i="9"/>
  <c r="C82" i="9"/>
  <c r="AA82" i="9"/>
  <c r="D82" i="9"/>
  <c r="D67" i="9"/>
  <c r="C67" i="9"/>
  <c r="AA67" i="9"/>
  <c r="E82" i="9"/>
  <c r="C52" i="9"/>
  <c r="AA52" i="9"/>
  <c r="D52" i="9"/>
  <c r="C53" i="9"/>
  <c r="AA53" i="9"/>
  <c r="D53" i="9"/>
  <c r="C54" i="9"/>
  <c r="AA54" i="9"/>
  <c r="D54" i="9"/>
  <c r="C55" i="9"/>
  <c r="AA55" i="9"/>
  <c r="D55" i="9"/>
  <c r="C56" i="9"/>
  <c r="AA56" i="9"/>
  <c r="D56" i="9"/>
  <c r="C57" i="9"/>
  <c r="AA57" i="9"/>
  <c r="D57" i="9"/>
  <c r="C58" i="9"/>
  <c r="AA58" i="9"/>
  <c r="D58" i="9"/>
  <c r="C59" i="9"/>
  <c r="AA59" i="9"/>
  <c r="D59" i="9"/>
  <c r="C60" i="9"/>
  <c r="AA60" i="9"/>
  <c r="D60" i="9"/>
  <c r="C61" i="9"/>
  <c r="AA61" i="9"/>
  <c r="D61" i="9"/>
  <c r="C62" i="9"/>
  <c r="AA62" i="9"/>
  <c r="D62" i="9"/>
  <c r="C63" i="9"/>
  <c r="AA63" i="9"/>
  <c r="D63" i="9"/>
  <c r="C64" i="9"/>
  <c r="AA64" i="9"/>
  <c r="D64" i="9"/>
  <c r="C65" i="9"/>
  <c r="AA65" i="9"/>
  <c r="D65" i="9"/>
  <c r="C66" i="9"/>
  <c r="AA66" i="9"/>
  <c r="D66" i="9"/>
  <c r="D51" i="9"/>
  <c r="C51" i="9"/>
  <c r="AA51" i="9"/>
  <c r="E66" i="9"/>
  <c r="C36" i="9"/>
  <c r="AA36" i="9"/>
  <c r="D36" i="9"/>
  <c r="C37" i="9"/>
  <c r="AA37" i="9"/>
  <c r="D37" i="9"/>
  <c r="C38" i="9"/>
  <c r="AA38" i="9"/>
  <c r="D38" i="9"/>
  <c r="C39" i="9"/>
  <c r="AA39" i="9"/>
  <c r="D39" i="9"/>
  <c r="C40" i="9"/>
  <c r="AA40" i="9"/>
  <c r="D40" i="9"/>
  <c r="C41" i="9"/>
  <c r="AA41" i="9"/>
  <c r="D41" i="9"/>
  <c r="C42" i="9"/>
  <c r="AA42" i="9"/>
  <c r="D42" i="9"/>
  <c r="C43" i="9"/>
  <c r="AA43" i="9"/>
  <c r="D43" i="9"/>
  <c r="C44" i="9"/>
  <c r="AA44" i="9"/>
  <c r="D44" i="9"/>
  <c r="C45" i="9"/>
  <c r="AA45" i="9"/>
  <c r="D45" i="9"/>
  <c r="C46" i="9"/>
  <c r="AA46" i="9"/>
  <c r="D46" i="9"/>
  <c r="C47" i="9"/>
  <c r="AA47" i="9"/>
  <c r="D47" i="9"/>
  <c r="C48" i="9"/>
  <c r="AA48" i="9"/>
  <c r="D48" i="9"/>
  <c r="C49" i="9"/>
  <c r="AA49" i="9"/>
  <c r="D49" i="9"/>
  <c r="C50" i="9"/>
  <c r="AA50" i="9"/>
  <c r="D50" i="9"/>
  <c r="E50" i="9"/>
  <c r="D35" i="9"/>
  <c r="C35" i="9"/>
  <c r="AA35" i="9"/>
  <c r="S59" i="1"/>
  <c r="C20" i="9"/>
  <c r="AA20" i="9"/>
  <c r="D20" i="9"/>
  <c r="C21" i="9"/>
  <c r="AA21" i="9"/>
  <c r="D21" i="9"/>
  <c r="C22" i="9"/>
  <c r="AA22" i="9"/>
  <c r="D22" i="9"/>
  <c r="C23" i="9"/>
  <c r="AA23" i="9"/>
  <c r="D23" i="9"/>
  <c r="C24" i="9"/>
  <c r="AA24" i="9"/>
  <c r="D24" i="9"/>
  <c r="C25" i="9"/>
  <c r="AA25" i="9"/>
  <c r="D25" i="9"/>
  <c r="C26" i="9"/>
  <c r="AA26" i="9"/>
  <c r="D26" i="9"/>
  <c r="C27" i="9"/>
  <c r="AA27" i="9"/>
  <c r="D27" i="9"/>
  <c r="C28" i="9"/>
  <c r="AA28" i="9"/>
  <c r="D28" i="9"/>
  <c r="C29" i="9"/>
  <c r="AA29" i="9"/>
  <c r="D29" i="9"/>
  <c r="C30" i="9"/>
  <c r="AA30" i="9"/>
  <c r="D30" i="9"/>
  <c r="C31" i="9"/>
  <c r="AA31" i="9"/>
  <c r="D31" i="9"/>
  <c r="C32" i="9"/>
  <c r="AA32" i="9"/>
  <c r="D32" i="9"/>
  <c r="C33" i="9"/>
  <c r="AA33" i="9"/>
  <c r="D33" i="9"/>
  <c r="C34" i="9"/>
  <c r="AA34" i="9"/>
  <c r="D34" i="9"/>
  <c r="C19" i="9"/>
  <c r="AA19" i="9"/>
  <c r="D19" i="9"/>
  <c r="E34" i="9"/>
  <c r="AL507" i="1"/>
  <c r="AL505" i="1"/>
  <c r="AL501" i="1"/>
  <c r="AK501" i="1"/>
  <c r="AJ501" i="1"/>
  <c r="AI501" i="1"/>
  <c r="AH501" i="1"/>
  <c r="AG501" i="1"/>
  <c r="AF501" i="1"/>
  <c r="AE501" i="1"/>
  <c r="AD501" i="1"/>
  <c r="AC501" i="1"/>
  <c r="AB501" i="1"/>
  <c r="AA501" i="1"/>
  <c r="Z501" i="1"/>
  <c r="Y501" i="1"/>
  <c r="X501" i="1"/>
  <c r="W501" i="1"/>
  <c r="AL496" i="1"/>
  <c r="AK496" i="1"/>
  <c r="AJ496" i="1"/>
  <c r="AI496" i="1"/>
  <c r="AH496" i="1"/>
  <c r="AG496" i="1"/>
  <c r="AF496" i="1"/>
  <c r="AE496" i="1"/>
  <c r="AD496" i="1"/>
  <c r="AC496" i="1"/>
  <c r="AB496" i="1"/>
  <c r="AA496" i="1"/>
  <c r="Z496" i="1"/>
  <c r="Y496" i="1"/>
  <c r="X496" i="1"/>
  <c r="W496" i="1"/>
  <c r="AL493" i="1"/>
  <c r="AK493" i="1"/>
  <c r="AJ493" i="1"/>
  <c r="AI493" i="1"/>
  <c r="AH493" i="1"/>
  <c r="AG493" i="1"/>
  <c r="AF493" i="1"/>
  <c r="AE493" i="1"/>
  <c r="AD493" i="1"/>
  <c r="AC493" i="1"/>
  <c r="AB493" i="1"/>
  <c r="AA493" i="1"/>
  <c r="Z493" i="1"/>
  <c r="Y493" i="1"/>
  <c r="X493" i="1"/>
  <c r="W493" i="1"/>
  <c r="AL483" i="1"/>
  <c r="AK483" i="1"/>
  <c r="AJ483" i="1"/>
  <c r="AI483" i="1"/>
  <c r="AH483" i="1"/>
  <c r="AG483" i="1"/>
  <c r="AF483" i="1"/>
  <c r="AE483" i="1"/>
  <c r="AD483" i="1"/>
  <c r="AC483" i="1"/>
  <c r="AB483" i="1"/>
  <c r="AA483" i="1"/>
  <c r="Z483" i="1"/>
  <c r="Y483" i="1"/>
  <c r="X483" i="1"/>
  <c r="W483" i="1"/>
  <c r="AL476" i="1"/>
  <c r="AK476" i="1"/>
  <c r="AJ476" i="1"/>
  <c r="AI476" i="1"/>
  <c r="AH476" i="1"/>
  <c r="AG476" i="1"/>
  <c r="AF476" i="1"/>
  <c r="AE476" i="1"/>
  <c r="AD476" i="1"/>
  <c r="AC476" i="1"/>
  <c r="AB476" i="1"/>
  <c r="AA476" i="1"/>
  <c r="Z476" i="1"/>
  <c r="Y476" i="1"/>
  <c r="X476" i="1"/>
  <c r="W476" i="1"/>
  <c r="AL472" i="1"/>
  <c r="AK472" i="1"/>
  <c r="AJ472" i="1"/>
  <c r="AI472" i="1"/>
  <c r="AH472" i="1"/>
  <c r="AG472" i="1"/>
  <c r="AF472" i="1"/>
  <c r="AE472" i="1"/>
  <c r="AD472" i="1"/>
  <c r="AC472" i="1"/>
  <c r="AB472" i="1"/>
  <c r="AA472" i="1"/>
  <c r="Z472" i="1"/>
  <c r="Y472" i="1"/>
  <c r="X472" i="1"/>
  <c r="W472" i="1"/>
  <c r="AL468" i="1"/>
  <c r="AK468" i="1"/>
  <c r="AJ468" i="1"/>
  <c r="AI468" i="1"/>
  <c r="AH468" i="1"/>
  <c r="AG468" i="1"/>
  <c r="AF468" i="1"/>
  <c r="AE468" i="1"/>
  <c r="AD468" i="1"/>
  <c r="AC468" i="1"/>
  <c r="AB468" i="1"/>
  <c r="AA468" i="1"/>
  <c r="Z468" i="1"/>
  <c r="Y468" i="1"/>
  <c r="X468" i="1"/>
  <c r="W468" i="1"/>
  <c r="AL444" i="1"/>
  <c r="AK444" i="1"/>
  <c r="AJ444" i="1"/>
  <c r="AI444" i="1"/>
  <c r="AH444" i="1"/>
  <c r="AG444" i="1"/>
  <c r="AF444" i="1"/>
  <c r="AE444" i="1"/>
  <c r="AD444" i="1"/>
  <c r="AC444" i="1"/>
  <c r="AB444" i="1"/>
  <c r="AA444" i="1"/>
  <c r="Z444" i="1"/>
  <c r="Y444" i="1"/>
  <c r="X444" i="1"/>
  <c r="W444" i="1"/>
  <c r="AL433" i="1"/>
  <c r="AL417" i="1"/>
  <c r="AK417" i="1"/>
  <c r="AJ417" i="1"/>
  <c r="AI417" i="1"/>
  <c r="AH417" i="1"/>
  <c r="AG417" i="1"/>
  <c r="AF417" i="1"/>
  <c r="AE417" i="1"/>
  <c r="AD417" i="1"/>
  <c r="AC417" i="1"/>
  <c r="AB417" i="1"/>
  <c r="AA417" i="1"/>
  <c r="Z417" i="1"/>
  <c r="Y417" i="1"/>
  <c r="X417" i="1"/>
  <c r="W417" i="1"/>
  <c r="AL409" i="1"/>
  <c r="AK409" i="1"/>
  <c r="AJ409" i="1"/>
  <c r="AI409" i="1"/>
  <c r="AH409" i="1"/>
  <c r="AG409" i="1"/>
  <c r="AF409" i="1"/>
  <c r="AE409" i="1"/>
  <c r="AD409" i="1"/>
  <c r="AC409" i="1"/>
  <c r="AB409" i="1"/>
  <c r="AA409" i="1"/>
  <c r="Z409" i="1"/>
  <c r="Y409" i="1"/>
  <c r="X409" i="1"/>
  <c r="W409" i="1"/>
  <c r="AL407" i="1"/>
  <c r="AL403" i="1"/>
  <c r="AK403" i="1"/>
  <c r="AJ403" i="1"/>
  <c r="AI403" i="1"/>
  <c r="AH403" i="1"/>
  <c r="AG403" i="1"/>
  <c r="AF403" i="1"/>
  <c r="AE403" i="1"/>
  <c r="AD403" i="1"/>
  <c r="AC403" i="1"/>
  <c r="AB403" i="1"/>
  <c r="AA403" i="1"/>
  <c r="Z403" i="1"/>
  <c r="Y403" i="1"/>
  <c r="X403" i="1"/>
  <c r="W403" i="1"/>
  <c r="AL399" i="1"/>
  <c r="AK399" i="1"/>
  <c r="AJ399" i="1"/>
  <c r="AI399" i="1"/>
  <c r="AH399" i="1"/>
  <c r="AG399" i="1"/>
  <c r="AF399" i="1"/>
  <c r="AE399" i="1"/>
  <c r="AD399" i="1"/>
  <c r="AC399" i="1"/>
  <c r="AB399" i="1"/>
  <c r="AA399" i="1"/>
  <c r="Z399" i="1"/>
  <c r="Y399" i="1"/>
  <c r="X399" i="1"/>
  <c r="W399" i="1"/>
  <c r="AL397" i="1"/>
  <c r="AK397" i="1"/>
  <c r="AJ397" i="1"/>
  <c r="AI397" i="1"/>
  <c r="AH397" i="1"/>
  <c r="AG397" i="1"/>
  <c r="AF397" i="1"/>
  <c r="AE397" i="1"/>
  <c r="AD397" i="1"/>
  <c r="AC397" i="1"/>
  <c r="AB397" i="1"/>
  <c r="AA397" i="1"/>
  <c r="Z397" i="1"/>
  <c r="Y397" i="1"/>
  <c r="X397" i="1"/>
  <c r="W397" i="1"/>
  <c r="AL393" i="1"/>
  <c r="AK393" i="1"/>
  <c r="AJ393" i="1"/>
  <c r="AI393" i="1"/>
  <c r="AH393" i="1"/>
  <c r="AG393" i="1"/>
  <c r="AF393" i="1"/>
  <c r="AE393" i="1"/>
  <c r="AD393" i="1"/>
  <c r="AC393" i="1"/>
  <c r="AB393" i="1"/>
  <c r="AA393" i="1"/>
  <c r="Z393" i="1"/>
  <c r="Y393" i="1"/>
  <c r="X393" i="1"/>
  <c r="W393" i="1"/>
  <c r="AL389" i="1"/>
  <c r="AK389" i="1"/>
  <c r="AJ389" i="1"/>
  <c r="AI389" i="1"/>
  <c r="AH389" i="1"/>
  <c r="AG389" i="1"/>
  <c r="AF389" i="1"/>
  <c r="AE389" i="1"/>
  <c r="AD389" i="1"/>
  <c r="AC389" i="1"/>
  <c r="AB389" i="1"/>
  <c r="AA389" i="1"/>
  <c r="Z389" i="1"/>
  <c r="Y389" i="1"/>
  <c r="X389" i="1"/>
  <c r="W389" i="1"/>
  <c r="AL385" i="1"/>
  <c r="AK385" i="1"/>
  <c r="AJ385" i="1"/>
  <c r="AI385" i="1"/>
  <c r="AH385" i="1"/>
  <c r="AG385" i="1"/>
  <c r="AF385" i="1"/>
  <c r="AE385" i="1"/>
  <c r="AD385" i="1"/>
  <c r="AC385" i="1"/>
  <c r="AB385" i="1"/>
  <c r="AA385" i="1"/>
  <c r="Z385" i="1"/>
  <c r="Y385" i="1"/>
  <c r="X385" i="1"/>
  <c r="W385" i="1"/>
  <c r="AL381" i="1"/>
  <c r="AK381" i="1"/>
  <c r="AJ381" i="1"/>
  <c r="AI381" i="1"/>
  <c r="AH381" i="1"/>
  <c r="AG381" i="1"/>
  <c r="AF381" i="1"/>
  <c r="AE381" i="1"/>
  <c r="AD381" i="1"/>
  <c r="AC381" i="1"/>
  <c r="AB381" i="1"/>
  <c r="AA381" i="1"/>
  <c r="Z381" i="1"/>
  <c r="Y381" i="1"/>
  <c r="X381" i="1"/>
  <c r="W381" i="1"/>
  <c r="AL376" i="1"/>
  <c r="AK376" i="1"/>
  <c r="AJ376" i="1"/>
  <c r="AI376" i="1"/>
  <c r="AH376" i="1"/>
  <c r="AG376" i="1"/>
  <c r="AF376" i="1"/>
  <c r="AE376" i="1"/>
  <c r="AD376" i="1"/>
  <c r="AC376" i="1"/>
  <c r="AB376" i="1"/>
  <c r="AA376" i="1"/>
  <c r="Z376" i="1"/>
  <c r="Y376" i="1"/>
  <c r="X376" i="1"/>
  <c r="W376" i="1"/>
  <c r="AL372" i="1"/>
  <c r="AK372" i="1"/>
  <c r="AJ372" i="1"/>
  <c r="AI372" i="1"/>
  <c r="AH372" i="1"/>
  <c r="AG372" i="1"/>
  <c r="AF372" i="1"/>
  <c r="AE372" i="1"/>
  <c r="AD372" i="1"/>
  <c r="AC372" i="1"/>
  <c r="AB372" i="1"/>
  <c r="AA372" i="1"/>
  <c r="Z372" i="1"/>
  <c r="Y372" i="1"/>
  <c r="X372" i="1"/>
  <c r="W372" i="1"/>
  <c r="AL370" i="1"/>
  <c r="AK370" i="1"/>
  <c r="AJ370" i="1"/>
  <c r="AI370" i="1"/>
  <c r="AH370" i="1"/>
  <c r="AG370" i="1"/>
  <c r="AF370" i="1"/>
  <c r="AE370" i="1"/>
  <c r="AD370" i="1"/>
  <c r="AC370" i="1"/>
  <c r="AB370" i="1"/>
  <c r="AA370" i="1"/>
  <c r="Z370" i="1"/>
  <c r="Y370" i="1"/>
  <c r="X370" i="1"/>
  <c r="W370" i="1"/>
  <c r="AL366" i="1"/>
  <c r="AK366" i="1"/>
  <c r="AJ366" i="1"/>
  <c r="AI366" i="1"/>
  <c r="AH366" i="1"/>
  <c r="AG366" i="1"/>
  <c r="AF366" i="1"/>
  <c r="AE366" i="1"/>
  <c r="AD366" i="1"/>
  <c r="AC366" i="1"/>
  <c r="AB366" i="1"/>
  <c r="AA366" i="1"/>
  <c r="Z366" i="1"/>
  <c r="Y366" i="1"/>
  <c r="X366" i="1"/>
  <c r="W366" i="1"/>
  <c r="AL362" i="1"/>
  <c r="AK362" i="1"/>
  <c r="AJ362" i="1"/>
  <c r="AI362" i="1"/>
  <c r="AH362" i="1"/>
  <c r="AG362" i="1"/>
  <c r="AF362" i="1"/>
  <c r="AE362" i="1"/>
  <c r="AD362" i="1"/>
  <c r="AC362" i="1"/>
  <c r="AB362" i="1"/>
  <c r="AA362" i="1"/>
  <c r="Z362" i="1"/>
  <c r="Y362" i="1"/>
  <c r="X362" i="1"/>
  <c r="W362" i="1"/>
  <c r="AL360" i="1"/>
  <c r="AK360" i="1"/>
  <c r="AJ360" i="1"/>
  <c r="AI360" i="1"/>
  <c r="AH360" i="1"/>
  <c r="AG360" i="1"/>
  <c r="AF360" i="1"/>
  <c r="AE360" i="1"/>
  <c r="AD360" i="1"/>
  <c r="AC360" i="1"/>
  <c r="AB360" i="1"/>
  <c r="AA360" i="1"/>
  <c r="Z360" i="1"/>
  <c r="Y360" i="1"/>
  <c r="X360" i="1"/>
  <c r="W360" i="1"/>
  <c r="AL356" i="1"/>
  <c r="AK356" i="1"/>
  <c r="AJ356" i="1"/>
  <c r="AI356" i="1"/>
  <c r="AH356" i="1"/>
  <c r="AG356" i="1"/>
  <c r="AF356" i="1"/>
  <c r="AE356" i="1"/>
  <c r="AD356" i="1"/>
  <c r="AC356" i="1"/>
  <c r="AB356" i="1"/>
  <c r="AA356" i="1"/>
  <c r="Z356" i="1"/>
  <c r="Y356" i="1"/>
  <c r="X356" i="1"/>
  <c r="W356" i="1"/>
  <c r="AL344" i="1"/>
  <c r="AK344" i="1"/>
  <c r="AJ344" i="1"/>
  <c r="AI344" i="1"/>
  <c r="AH344" i="1"/>
  <c r="AG344" i="1"/>
  <c r="AF344" i="1"/>
  <c r="AE344" i="1"/>
  <c r="AD344" i="1"/>
  <c r="AC344" i="1"/>
  <c r="AB344" i="1"/>
  <c r="AA344" i="1"/>
  <c r="Z344" i="1"/>
  <c r="Y344" i="1"/>
  <c r="X344" i="1"/>
  <c r="W344" i="1"/>
  <c r="AL340" i="1"/>
  <c r="AK340" i="1"/>
  <c r="AJ340" i="1"/>
  <c r="AI340" i="1"/>
  <c r="AH340" i="1"/>
  <c r="AG340" i="1"/>
  <c r="AF340" i="1"/>
  <c r="AE340" i="1"/>
  <c r="AD340" i="1"/>
  <c r="AC340" i="1"/>
  <c r="AB340" i="1"/>
  <c r="AA340" i="1"/>
  <c r="Z340" i="1"/>
  <c r="Y340" i="1"/>
  <c r="X340" i="1"/>
  <c r="W340" i="1"/>
  <c r="AL337" i="1"/>
  <c r="AL330" i="1"/>
  <c r="AL323" i="1"/>
  <c r="AK323" i="1"/>
  <c r="AJ323" i="1"/>
  <c r="AI323" i="1"/>
  <c r="AH323" i="1"/>
  <c r="AG323" i="1"/>
  <c r="AF323" i="1"/>
  <c r="AE323" i="1"/>
  <c r="AD323" i="1"/>
  <c r="AC323" i="1"/>
  <c r="AB323" i="1"/>
  <c r="AA323" i="1"/>
  <c r="Z323" i="1"/>
  <c r="Y323" i="1"/>
  <c r="X323" i="1"/>
  <c r="W323" i="1"/>
  <c r="AL244" i="1"/>
  <c r="AK244" i="1"/>
  <c r="AJ244" i="1"/>
  <c r="AI244" i="1"/>
  <c r="AH244" i="1"/>
  <c r="AG244" i="1"/>
  <c r="AF244" i="1"/>
  <c r="AE244" i="1"/>
  <c r="AD244" i="1"/>
  <c r="AC244" i="1"/>
  <c r="AB244" i="1"/>
  <c r="AA244" i="1"/>
  <c r="Z244" i="1"/>
  <c r="Y244" i="1"/>
  <c r="X244" i="1"/>
  <c r="W244" i="1"/>
  <c r="AL242" i="1"/>
  <c r="AK242" i="1"/>
  <c r="AJ242" i="1"/>
  <c r="AI242" i="1"/>
  <c r="AH242" i="1"/>
  <c r="AG242" i="1"/>
  <c r="AF242" i="1"/>
  <c r="AE242" i="1"/>
  <c r="AD242" i="1"/>
  <c r="AC242" i="1"/>
  <c r="AB242" i="1"/>
  <c r="AA242" i="1"/>
  <c r="Z242" i="1"/>
  <c r="Y242" i="1"/>
  <c r="X242" i="1"/>
  <c r="W242" i="1"/>
  <c r="AL238" i="1"/>
  <c r="AK238" i="1"/>
  <c r="AJ238" i="1"/>
  <c r="AI238" i="1"/>
  <c r="AH238" i="1"/>
  <c r="AG238" i="1"/>
  <c r="AF238" i="1"/>
  <c r="AE238" i="1"/>
  <c r="AD238" i="1"/>
  <c r="AC238" i="1"/>
  <c r="AB238" i="1"/>
  <c r="AA238" i="1"/>
  <c r="Z238" i="1"/>
  <c r="Y238" i="1"/>
  <c r="X238" i="1"/>
  <c r="W238" i="1"/>
  <c r="AL223" i="1"/>
  <c r="AK223" i="1"/>
  <c r="AJ223" i="1"/>
  <c r="AI223" i="1"/>
  <c r="AH223" i="1"/>
  <c r="AG223" i="1"/>
  <c r="AF223" i="1"/>
  <c r="AE223" i="1"/>
  <c r="AD223" i="1"/>
  <c r="AC223" i="1"/>
  <c r="AB223" i="1"/>
  <c r="AA223" i="1"/>
  <c r="Z223" i="1"/>
  <c r="Y223" i="1"/>
  <c r="X223" i="1"/>
  <c r="W223" i="1"/>
  <c r="AL217" i="1"/>
  <c r="AL210" i="1"/>
  <c r="AL205" i="1"/>
  <c r="AL198" i="1"/>
  <c r="AL187" i="1"/>
  <c r="AL183" i="1"/>
  <c r="AL412" i="1"/>
  <c r="AL177" i="1"/>
  <c r="AL172" i="1"/>
  <c r="AL166" i="1"/>
  <c r="AK166" i="1"/>
  <c r="AJ166" i="1"/>
  <c r="AI166" i="1"/>
  <c r="AH166" i="1"/>
  <c r="AG166" i="1"/>
  <c r="AF166" i="1"/>
  <c r="AE166" i="1"/>
  <c r="AD166" i="1"/>
  <c r="AC166" i="1"/>
  <c r="AB166" i="1"/>
  <c r="AA166" i="1"/>
  <c r="Z166" i="1"/>
  <c r="Y166" i="1"/>
  <c r="X166" i="1"/>
  <c r="W166" i="1"/>
  <c r="AL160" i="1"/>
  <c r="AK160" i="1"/>
  <c r="AJ160" i="1"/>
  <c r="AI160" i="1"/>
  <c r="AH160" i="1"/>
  <c r="AG160" i="1"/>
  <c r="AF160" i="1"/>
  <c r="AE160" i="1"/>
  <c r="AD160" i="1"/>
  <c r="AC160" i="1"/>
  <c r="AB160" i="1"/>
  <c r="AA160" i="1"/>
  <c r="Z160" i="1"/>
  <c r="Y160" i="1"/>
  <c r="X160" i="1"/>
  <c r="W160" i="1"/>
  <c r="AL155" i="1"/>
  <c r="AK155" i="1"/>
  <c r="AJ155" i="1"/>
  <c r="AI155" i="1"/>
  <c r="AH155" i="1"/>
  <c r="AG155" i="1"/>
  <c r="AF155" i="1"/>
  <c r="AE155" i="1"/>
  <c r="AD155" i="1"/>
  <c r="AC155" i="1"/>
  <c r="AB155" i="1"/>
  <c r="AA155" i="1"/>
  <c r="Z155" i="1"/>
  <c r="Y155" i="1"/>
  <c r="X155" i="1"/>
  <c r="W155" i="1"/>
  <c r="AL149" i="1"/>
  <c r="AK149" i="1"/>
  <c r="AJ149" i="1"/>
  <c r="AI149" i="1"/>
  <c r="AH149" i="1"/>
  <c r="AG149" i="1"/>
  <c r="AF149" i="1"/>
  <c r="AE149" i="1"/>
  <c r="AD149" i="1"/>
  <c r="AC149" i="1"/>
  <c r="AB149" i="1"/>
  <c r="AA149" i="1"/>
  <c r="Z149" i="1"/>
  <c r="Y149" i="1"/>
  <c r="X149" i="1"/>
  <c r="W149" i="1"/>
  <c r="AL143" i="1"/>
  <c r="AK143" i="1"/>
  <c r="AJ143" i="1"/>
  <c r="AI143" i="1"/>
  <c r="AH143" i="1"/>
  <c r="AG143" i="1"/>
  <c r="AF143" i="1"/>
  <c r="AE143" i="1"/>
  <c r="AD143" i="1"/>
  <c r="AC143" i="1"/>
  <c r="AB143" i="1"/>
  <c r="AA143" i="1"/>
  <c r="Z143" i="1"/>
  <c r="Y143" i="1"/>
  <c r="X143" i="1"/>
  <c r="W143" i="1"/>
  <c r="AL139" i="1"/>
  <c r="AK139" i="1"/>
  <c r="AJ139" i="1"/>
  <c r="AI139" i="1"/>
  <c r="AH139" i="1"/>
  <c r="AG139" i="1"/>
  <c r="AF139" i="1"/>
  <c r="AE139" i="1"/>
  <c r="AD139" i="1"/>
  <c r="AC139" i="1"/>
  <c r="AB139" i="1"/>
  <c r="AA139" i="1"/>
  <c r="Z139" i="1"/>
  <c r="Y139" i="1"/>
  <c r="X139" i="1"/>
  <c r="W139" i="1"/>
  <c r="AL135" i="1"/>
  <c r="AK135" i="1"/>
  <c r="AJ135" i="1"/>
  <c r="AI135" i="1"/>
  <c r="AH135" i="1"/>
  <c r="AG135" i="1"/>
  <c r="AF135" i="1"/>
  <c r="AE135" i="1"/>
  <c r="AD135" i="1"/>
  <c r="AC135" i="1"/>
  <c r="AB135" i="1"/>
  <c r="AA135" i="1"/>
  <c r="Z135" i="1"/>
  <c r="Y135" i="1"/>
  <c r="X135" i="1"/>
  <c r="W135" i="1"/>
  <c r="AL131" i="1"/>
  <c r="AL125" i="1"/>
  <c r="AL120" i="1"/>
  <c r="AK120" i="1"/>
  <c r="AJ120" i="1"/>
  <c r="AI120" i="1"/>
  <c r="AH120" i="1"/>
  <c r="AG120" i="1"/>
  <c r="AF120" i="1"/>
  <c r="AE120" i="1"/>
  <c r="AD120" i="1"/>
  <c r="AC120" i="1"/>
  <c r="AB120" i="1"/>
  <c r="AA120" i="1"/>
  <c r="Z120" i="1"/>
  <c r="Y120" i="1"/>
  <c r="X120" i="1"/>
  <c r="W120" i="1"/>
  <c r="AL115" i="1"/>
  <c r="AK115" i="1"/>
  <c r="AJ115" i="1"/>
  <c r="AI115" i="1"/>
  <c r="AH115" i="1"/>
  <c r="AG115" i="1"/>
  <c r="AF115" i="1"/>
  <c r="AE115" i="1"/>
  <c r="AD115" i="1"/>
  <c r="AC115" i="1"/>
  <c r="AB115" i="1"/>
  <c r="AA115" i="1"/>
  <c r="Z115" i="1"/>
  <c r="Y115" i="1"/>
  <c r="X115" i="1"/>
  <c r="W115" i="1"/>
  <c r="AL112" i="1"/>
  <c r="AL104" i="1"/>
  <c r="AK104" i="1"/>
  <c r="AJ104" i="1"/>
  <c r="AI104" i="1"/>
  <c r="AH104" i="1"/>
  <c r="AG104" i="1"/>
  <c r="AF104" i="1"/>
  <c r="AE104" i="1"/>
  <c r="AD104" i="1"/>
  <c r="AC104" i="1"/>
  <c r="AB104" i="1"/>
  <c r="AA104" i="1"/>
  <c r="Z104" i="1"/>
  <c r="Y104" i="1"/>
  <c r="X104" i="1"/>
  <c r="W104" i="1"/>
  <c r="AL95" i="1"/>
  <c r="AK95" i="1"/>
  <c r="AJ95" i="1"/>
  <c r="AI95" i="1"/>
  <c r="AH95" i="1"/>
  <c r="AG95" i="1"/>
  <c r="AF95" i="1"/>
  <c r="AE95" i="1"/>
  <c r="AD95" i="1"/>
  <c r="AC95" i="1"/>
  <c r="AB95" i="1"/>
  <c r="AA95" i="1"/>
  <c r="Z95" i="1"/>
  <c r="Y95" i="1"/>
  <c r="X95" i="1"/>
  <c r="W95" i="1"/>
  <c r="AL88" i="1"/>
  <c r="AK88" i="1"/>
  <c r="AJ88" i="1"/>
  <c r="AI88" i="1"/>
  <c r="AH88" i="1"/>
  <c r="AG88" i="1"/>
  <c r="AF88" i="1"/>
  <c r="AE88" i="1"/>
  <c r="AD88" i="1"/>
  <c r="AC88" i="1"/>
  <c r="AB88" i="1"/>
  <c r="AA88" i="1"/>
  <c r="Z88" i="1"/>
  <c r="Y88" i="1"/>
  <c r="X88" i="1"/>
  <c r="W88" i="1"/>
  <c r="Z80" i="1"/>
  <c r="AL80" i="1"/>
  <c r="AK80" i="1"/>
  <c r="AJ80" i="1"/>
  <c r="AI80" i="1"/>
  <c r="AH80" i="1"/>
  <c r="AG80" i="1"/>
  <c r="AF80" i="1"/>
  <c r="AE80" i="1"/>
  <c r="AD80" i="1"/>
  <c r="AC80" i="1"/>
  <c r="AB80" i="1"/>
  <c r="AA80" i="1"/>
  <c r="Y80" i="1"/>
  <c r="X80" i="1"/>
  <c r="W80" i="1"/>
  <c r="AL70" i="1"/>
  <c r="AK70" i="1"/>
  <c r="AJ70" i="1"/>
  <c r="AI70" i="1"/>
  <c r="AH70" i="1"/>
  <c r="AG70" i="1"/>
  <c r="AF70" i="1"/>
  <c r="AE70" i="1"/>
  <c r="AD70" i="1"/>
  <c r="AC70" i="1"/>
  <c r="AB70" i="1"/>
  <c r="AA70" i="1"/>
  <c r="Z70" i="1"/>
  <c r="Y70" i="1"/>
  <c r="X70" i="1"/>
  <c r="W70" i="1"/>
  <c r="AL66" i="1"/>
  <c r="AL59" i="1"/>
  <c r="AK52" i="1"/>
  <c r="X52" i="1"/>
  <c r="Y52" i="1"/>
  <c r="Z52" i="1"/>
  <c r="AA52" i="1"/>
  <c r="AB52" i="1"/>
  <c r="AC52" i="1"/>
  <c r="AD52" i="1"/>
  <c r="AE52" i="1"/>
  <c r="AF52" i="1"/>
  <c r="AG52" i="1"/>
  <c r="AH52" i="1"/>
  <c r="AI52" i="1"/>
  <c r="AJ52" i="1"/>
  <c r="AL52" i="1"/>
  <c r="W52" i="1"/>
  <c r="AL3" i="1"/>
  <c r="AL4" i="1"/>
  <c r="E18" i="9"/>
  <c r="D4" i="9"/>
  <c r="D5" i="9"/>
  <c r="D6" i="9"/>
  <c r="D7" i="9"/>
  <c r="D8" i="9"/>
  <c r="D9" i="9"/>
  <c r="D10" i="9"/>
  <c r="D11" i="9"/>
  <c r="D12" i="9"/>
  <c r="D13" i="9"/>
  <c r="D14" i="9"/>
  <c r="D15" i="9"/>
  <c r="D16" i="9"/>
  <c r="D17" i="9"/>
  <c r="D18" i="9"/>
  <c r="D3" i="9"/>
  <c r="C4" i="9"/>
  <c r="AA4" i="9"/>
  <c r="C5" i="9"/>
  <c r="AA5" i="9"/>
  <c r="C6" i="9"/>
  <c r="AA6" i="9"/>
  <c r="C7" i="9"/>
  <c r="AA7" i="9"/>
  <c r="C8" i="9"/>
  <c r="AA8" i="9"/>
  <c r="C9" i="9"/>
  <c r="AA9" i="9"/>
  <c r="C10" i="9"/>
  <c r="AA10" i="9"/>
  <c r="C11" i="9"/>
  <c r="AA11" i="9"/>
  <c r="C12" i="9"/>
  <c r="AA12" i="9"/>
  <c r="C13" i="9"/>
  <c r="AA13" i="9"/>
  <c r="C14" i="9"/>
  <c r="AA14" i="9"/>
  <c r="C15" i="9"/>
  <c r="AA15" i="9"/>
  <c r="C16" i="9"/>
  <c r="AA16" i="9"/>
  <c r="C17" i="9"/>
  <c r="AA17" i="9"/>
  <c r="C18" i="9"/>
  <c r="AA18" i="9"/>
  <c r="C3" i="9"/>
  <c r="AA3" i="9"/>
  <c r="S399" i="1"/>
  <c r="S397" i="1"/>
  <c r="S385" i="1"/>
  <c r="S362" i="1"/>
  <c r="S360" i="1"/>
  <c r="M20" i="8"/>
  <c r="N20" i="8"/>
  <c r="O20" i="8"/>
  <c r="P20" i="8"/>
  <c r="Q20" i="8"/>
  <c r="M21" i="8"/>
  <c r="N21" i="8"/>
  <c r="O21" i="8"/>
  <c r="P21" i="8"/>
  <c r="Q21" i="8"/>
  <c r="M22" i="8"/>
  <c r="N22" i="8"/>
  <c r="O22" i="8"/>
  <c r="P22" i="8"/>
  <c r="Q22" i="8"/>
  <c r="M18" i="8"/>
  <c r="N18" i="8"/>
  <c r="O18" i="8"/>
  <c r="P18" i="8"/>
  <c r="Q18" i="8"/>
  <c r="M17" i="8"/>
  <c r="N17" i="8"/>
  <c r="O17" i="8"/>
  <c r="P17" i="8"/>
  <c r="Q17" i="8"/>
  <c r="C16" i="8"/>
  <c r="S496" i="1"/>
  <c r="F494" i="1"/>
  <c r="S483" i="1"/>
  <c r="S476" i="1"/>
  <c r="F410" i="1"/>
  <c r="S409" i="1"/>
  <c r="S407" i="1"/>
  <c r="S403" i="1"/>
  <c r="S372" i="1"/>
  <c r="S344" i="1"/>
  <c r="S340" i="1"/>
  <c r="H31" i="1"/>
  <c r="G31" i="1"/>
  <c r="F31" i="1"/>
  <c r="M327" i="1"/>
  <c r="M326" i="1"/>
  <c r="AJ187" i="1"/>
  <c r="AJ407" i="1"/>
  <c r="AI187" i="1"/>
  <c r="AI407" i="1"/>
  <c r="AH187" i="1"/>
  <c r="AH407" i="1"/>
  <c r="AK187" i="1"/>
  <c r="AK407" i="1"/>
  <c r="AG187" i="1"/>
  <c r="AG407" i="1"/>
  <c r="W412" i="1"/>
  <c r="W108" i="1"/>
  <c r="W265" i="1"/>
  <c r="W433" i="1"/>
  <c r="AI520" i="1"/>
  <c r="AI249" i="1"/>
  <c r="AH520" i="1"/>
  <c r="AH249" i="1"/>
  <c r="AK520" i="1"/>
  <c r="AK249" i="1"/>
  <c r="AG520" i="1"/>
  <c r="AG249" i="1"/>
  <c r="AJ520" i="1"/>
  <c r="AJ249" i="1"/>
  <c r="AI514" i="1"/>
  <c r="AI516" i="1"/>
  <c r="AH514" i="1"/>
  <c r="AH516" i="1"/>
  <c r="AK514" i="1"/>
  <c r="AK516" i="1"/>
  <c r="AG514" i="1"/>
  <c r="AG516" i="1"/>
  <c r="AJ514" i="1"/>
  <c r="AJ516" i="1"/>
  <c r="AK505" i="1"/>
  <c r="AK511" i="1"/>
  <c r="AI505" i="1"/>
  <c r="AI511" i="1"/>
  <c r="AH505" i="1"/>
  <c r="AH511" i="1"/>
  <c r="AG505" i="1"/>
  <c r="AG511" i="1"/>
  <c r="AJ505" i="1"/>
  <c r="AJ511" i="1"/>
  <c r="W337" i="1"/>
  <c r="W507" i="1"/>
  <c r="AH198" i="1"/>
  <c r="AH330" i="1"/>
  <c r="AK198" i="1"/>
  <c r="AK330" i="1"/>
  <c r="AG198" i="1"/>
  <c r="AG330" i="1"/>
  <c r="AJ198" i="1"/>
  <c r="AJ330" i="1"/>
  <c r="AI198" i="1"/>
  <c r="AI330" i="1"/>
  <c r="W183" i="1"/>
  <c r="W210" i="1"/>
  <c r="W205" i="1"/>
  <c r="AH66" i="1"/>
  <c r="AH217" i="1"/>
  <c r="AK66" i="1"/>
  <c r="AK217" i="1"/>
  <c r="AG66" i="1"/>
  <c r="AG217" i="1"/>
  <c r="AJ66" i="1"/>
  <c r="AJ217" i="1"/>
  <c r="AI66" i="1"/>
  <c r="AI217" i="1"/>
  <c r="AI59" i="1"/>
  <c r="AI177" i="1"/>
  <c r="AI131" i="1"/>
  <c r="AI125" i="1"/>
  <c r="AI112" i="1"/>
  <c r="AH59" i="1"/>
  <c r="AH177" i="1"/>
  <c r="AH131" i="1"/>
  <c r="AH125" i="1"/>
  <c r="AH112" i="1"/>
  <c r="AK59" i="1"/>
  <c r="AK177" i="1"/>
  <c r="AK131" i="1"/>
  <c r="AK125" i="1"/>
  <c r="AK112" i="1"/>
  <c r="AG59" i="1"/>
  <c r="AG177" i="1"/>
  <c r="AG131" i="1"/>
  <c r="AG125" i="1"/>
  <c r="AG112" i="1"/>
  <c r="AJ59" i="1"/>
  <c r="AJ177" i="1"/>
  <c r="AJ131" i="1"/>
  <c r="AJ125" i="1"/>
  <c r="AJ112" i="1"/>
  <c r="O210" i="1"/>
  <c r="O217" i="1"/>
  <c r="S88" i="1"/>
  <c r="S66" i="1"/>
  <c r="AU31" i="1"/>
  <c r="AT31" i="1"/>
  <c r="AS31" i="1"/>
  <c r="AR31" i="1"/>
  <c r="AR25" i="1"/>
  <c r="AR23" i="1"/>
  <c r="AU30" i="1"/>
  <c r="AT30" i="1"/>
  <c r="AS30" i="1"/>
  <c r="AR30" i="1"/>
  <c r="AU28" i="1"/>
  <c r="AT28" i="1"/>
  <c r="AS28" i="1"/>
  <c r="AR28" i="1"/>
  <c r="AU27" i="1"/>
  <c r="AT27" i="1"/>
  <c r="AS27" i="1"/>
  <c r="AR27" i="1"/>
  <c r="AT24" i="1"/>
  <c r="AU23" i="1"/>
  <c r="AT23" i="1"/>
  <c r="AS23" i="1"/>
  <c r="AR20" i="1"/>
  <c r="AU24" i="1"/>
  <c r="AS24" i="1"/>
  <c r="AR24" i="1"/>
  <c r="AT22" i="1"/>
  <c r="AU22" i="1"/>
  <c r="AS22" i="1"/>
  <c r="AR22" i="1"/>
  <c r="S381" i="1"/>
  <c r="S269" i="1"/>
  <c r="S393" i="1"/>
  <c r="S472" i="1"/>
  <c r="S468" i="1"/>
  <c r="S155" i="1"/>
  <c r="S389" i="1"/>
  <c r="S210" i="1"/>
  <c r="M456" i="1"/>
  <c r="S444" i="1"/>
  <c r="F493" i="1"/>
  <c r="S493" i="1"/>
  <c r="AS20" i="1"/>
  <c r="AT20" i="1"/>
  <c r="AU20" i="1"/>
  <c r="E5" i="7"/>
  <c r="C8" i="7"/>
  <c r="F5" i="7"/>
  <c r="C9" i="7"/>
  <c r="G5" i="7"/>
  <c r="C10" i="7"/>
  <c r="H5" i="7"/>
  <c r="C11" i="7"/>
  <c r="I5" i="7"/>
  <c r="C12" i="7"/>
  <c r="J5" i="7"/>
  <c r="C13" i="7"/>
  <c r="K5" i="7"/>
  <c r="C14" i="7"/>
  <c r="L5" i="7"/>
  <c r="C15" i="7"/>
  <c r="M5" i="7"/>
  <c r="C16" i="7"/>
  <c r="N5" i="7"/>
  <c r="C17" i="7"/>
  <c r="O5" i="7"/>
  <c r="C18" i="7"/>
  <c r="P5" i="7"/>
  <c r="C19" i="7"/>
  <c r="Q5" i="7"/>
  <c r="C20" i="7"/>
  <c r="R5" i="7"/>
  <c r="C21" i="7"/>
  <c r="D5" i="7"/>
  <c r="C7" i="7"/>
  <c r="O208" i="1"/>
  <c r="S217" i="1"/>
  <c r="O233" i="1"/>
  <c r="O234" i="1"/>
  <c r="O235" i="1"/>
  <c r="Q16" i="8"/>
  <c r="P16" i="8"/>
  <c r="O16" i="8"/>
  <c r="N16" i="8"/>
  <c r="M16" i="8"/>
  <c r="L16" i="8"/>
  <c r="K16" i="8"/>
  <c r="J16" i="8"/>
  <c r="I16" i="8"/>
  <c r="H16" i="8"/>
  <c r="G16" i="8"/>
  <c r="F16" i="8"/>
  <c r="E16" i="8"/>
  <c r="D16" i="8"/>
  <c r="Q14" i="8"/>
  <c r="P14" i="8"/>
  <c r="O14" i="8"/>
  <c r="N14" i="8"/>
  <c r="M14" i="8"/>
  <c r="L14" i="8"/>
  <c r="K14" i="8"/>
  <c r="J14" i="8"/>
  <c r="I14" i="8"/>
  <c r="H14" i="8"/>
  <c r="G14" i="8"/>
  <c r="F14" i="8"/>
  <c r="E14" i="8"/>
  <c r="D14" i="8"/>
  <c r="C14" i="8"/>
  <c r="Q13" i="8"/>
  <c r="AK3" i="1"/>
  <c r="P13" i="8"/>
  <c r="AJ3" i="1"/>
  <c r="O13" i="8"/>
  <c r="AI3" i="1"/>
  <c r="N13" i="8"/>
  <c r="AH3" i="1"/>
  <c r="M13" i="8"/>
  <c r="AG3" i="1"/>
  <c r="L13" i="8"/>
  <c r="AF3" i="1"/>
  <c r="K13" i="8"/>
  <c r="AE3" i="1"/>
  <c r="J13" i="8"/>
  <c r="AD3" i="1"/>
  <c r="I13" i="8"/>
  <c r="AC3" i="1"/>
  <c r="H13" i="8"/>
  <c r="AB3" i="1"/>
  <c r="G13" i="8"/>
  <c r="AA3" i="1"/>
  <c r="F13" i="8"/>
  <c r="Z3" i="1"/>
  <c r="E13" i="8"/>
  <c r="Y3" i="1"/>
  <c r="D13" i="8"/>
  <c r="X3" i="1"/>
  <c r="C13" i="8"/>
  <c r="W3" i="1"/>
  <c r="X412" i="1"/>
  <c r="X108" i="1"/>
  <c r="AF412" i="1"/>
  <c r="AF108" i="1"/>
  <c r="AJ412" i="1"/>
  <c r="AJ108" i="1"/>
  <c r="Y412" i="1"/>
  <c r="Y108" i="1"/>
  <c r="AC412" i="1"/>
  <c r="AC108" i="1"/>
  <c r="AG412" i="1"/>
  <c r="AG108" i="1"/>
  <c r="AK412" i="1"/>
  <c r="AK108" i="1"/>
  <c r="Z412" i="1"/>
  <c r="Z108" i="1"/>
  <c r="AD412" i="1"/>
  <c r="AD108" i="1"/>
  <c r="AH412" i="1"/>
  <c r="AH108" i="1"/>
  <c r="AB412" i="1"/>
  <c r="AB108" i="1"/>
  <c r="AA412" i="1"/>
  <c r="AA108" i="1"/>
  <c r="AE412" i="1"/>
  <c r="AE108" i="1"/>
  <c r="AI412" i="1"/>
  <c r="AI108" i="1"/>
  <c r="E1268" i="9"/>
  <c r="E1284" i="9"/>
  <c r="E1252" i="9"/>
  <c r="E1140" i="9"/>
  <c r="E1236" i="9"/>
  <c r="E1188" i="9"/>
  <c r="E1220" i="9"/>
  <c r="E1204" i="9"/>
  <c r="E1172" i="9"/>
  <c r="E1156" i="9"/>
  <c r="E1124" i="9"/>
  <c r="E1288" i="9"/>
  <c r="E1272" i="9"/>
  <c r="E1224" i="9"/>
  <c r="E1160" i="9"/>
  <c r="E1208" i="9"/>
  <c r="E1144" i="9"/>
  <c r="E1256" i="9"/>
  <c r="E1240" i="9"/>
  <c r="E1192" i="9"/>
  <c r="E1128" i="9"/>
  <c r="E1176" i="9"/>
  <c r="E1276" i="9"/>
  <c r="E1260" i="9"/>
  <c r="E1292" i="9"/>
  <c r="E1228" i="9"/>
  <c r="E1180" i="9"/>
  <c r="E1244" i="9"/>
  <c r="E1164" i="9"/>
  <c r="E1196" i="9"/>
  <c r="E1148" i="9"/>
  <c r="E1212" i="9"/>
  <c r="E1132" i="9"/>
  <c r="E1280" i="9"/>
  <c r="E1264" i="9"/>
  <c r="E1248" i="9"/>
  <c r="E1216" i="9"/>
  <c r="E1296" i="9"/>
  <c r="E1200" i="9"/>
  <c r="E1136" i="9"/>
  <c r="E1184" i="9"/>
  <c r="E1232" i="9"/>
  <c r="E1168" i="9"/>
  <c r="E1152" i="9"/>
  <c r="Z265" i="1"/>
  <c r="Z433" i="1"/>
  <c r="AD265" i="1"/>
  <c r="AD433" i="1"/>
  <c r="AH265" i="1"/>
  <c r="AH433" i="1"/>
  <c r="E1285" i="9"/>
  <c r="E1237" i="9"/>
  <c r="E1221" i="9"/>
  <c r="E1205" i="9"/>
  <c r="E1189" i="9"/>
  <c r="E1269" i="9"/>
  <c r="E1125" i="9"/>
  <c r="E1173" i="9"/>
  <c r="E1253" i="9"/>
  <c r="E1157" i="9"/>
  <c r="E1141" i="9"/>
  <c r="E1289" i="9"/>
  <c r="E1273" i="9"/>
  <c r="E1241" i="9"/>
  <c r="E1225" i="9"/>
  <c r="E1209" i="9"/>
  <c r="E1193" i="9"/>
  <c r="E1257" i="9"/>
  <c r="E1145" i="9"/>
  <c r="E1129" i="9"/>
  <c r="E1177" i="9"/>
  <c r="E1161" i="9"/>
  <c r="E1293" i="9"/>
  <c r="E1245" i="9"/>
  <c r="E1229" i="9"/>
  <c r="E1213" i="9"/>
  <c r="E1197" i="9"/>
  <c r="E1261" i="9"/>
  <c r="E1165" i="9"/>
  <c r="E1277" i="9"/>
  <c r="E1149" i="9"/>
  <c r="E1133" i="9"/>
  <c r="E1181" i="9"/>
  <c r="E1297" i="9"/>
  <c r="E1281" i="9"/>
  <c r="E1265" i="9"/>
  <c r="E1249" i="9"/>
  <c r="E1233" i="9"/>
  <c r="E1217" i="9"/>
  <c r="E1201" i="9"/>
  <c r="E1185" i="9"/>
  <c r="E1169" i="9"/>
  <c r="E1153" i="9"/>
  <c r="E1137" i="9"/>
  <c r="AA265" i="1"/>
  <c r="AA433" i="1"/>
  <c r="AE265" i="1"/>
  <c r="AE433" i="1"/>
  <c r="AI265" i="1"/>
  <c r="AI433" i="1"/>
  <c r="E1270" i="9"/>
  <c r="E1254" i="9"/>
  <c r="E1286" i="9"/>
  <c r="E1174" i="9"/>
  <c r="E1158" i="9"/>
  <c r="E1142" i="9"/>
  <c r="E1126" i="9"/>
  <c r="E1238" i="9"/>
  <c r="E1206" i="9"/>
  <c r="E1190" i="9"/>
  <c r="E1222" i="9"/>
  <c r="E1274" i="9"/>
  <c r="E1258" i="9"/>
  <c r="E1290" i="9"/>
  <c r="E1178" i="9"/>
  <c r="E1162" i="9"/>
  <c r="E1146" i="9"/>
  <c r="E1130" i="9"/>
  <c r="E1210" i="9"/>
  <c r="E1194" i="9"/>
  <c r="E1242" i="9"/>
  <c r="E1226" i="9"/>
  <c r="E1278" i="9"/>
  <c r="E1262" i="9"/>
  <c r="E1294" i="9"/>
  <c r="E1182" i="9"/>
  <c r="E1166" i="9"/>
  <c r="E1150" i="9"/>
  <c r="E1134" i="9"/>
  <c r="E1246" i="9"/>
  <c r="E1230" i="9"/>
  <c r="E1198" i="9"/>
  <c r="E1214" i="9"/>
  <c r="X265" i="1"/>
  <c r="X433" i="1"/>
  <c r="AB265" i="1"/>
  <c r="AB433" i="1"/>
  <c r="AF265" i="1"/>
  <c r="AF433" i="1"/>
  <c r="AJ265" i="1"/>
  <c r="AJ433" i="1"/>
  <c r="E1283" i="9"/>
  <c r="E1251" i="9"/>
  <c r="E1203" i="9"/>
  <c r="E1155" i="9"/>
  <c r="E1139" i="9"/>
  <c r="E1267" i="9"/>
  <c r="E1123" i="9"/>
  <c r="E1219" i="9"/>
  <c r="E1171" i="9"/>
  <c r="E1235" i="9"/>
  <c r="E1187" i="9"/>
  <c r="E1287" i="9"/>
  <c r="E1255" i="9"/>
  <c r="E1223" i="9"/>
  <c r="E1239" i="9"/>
  <c r="E1175" i="9"/>
  <c r="E1159" i="9"/>
  <c r="E1143" i="9"/>
  <c r="E1127" i="9"/>
  <c r="E1207" i="9"/>
  <c r="E1271" i="9"/>
  <c r="E1191" i="9"/>
  <c r="E1291" i="9"/>
  <c r="E1243" i="9"/>
  <c r="E1211" i="9"/>
  <c r="E1195" i="9"/>
  <c r="E1131" i="9"/>
  <c r="E1259" i="9"/>
  <c r="E1179" i="9"/>
  <c r="E1275" i="9"/>
  <c r="E1163" i="9"/>
  <c r="E1147" i="9"/>
  <c r="E1227" i="9"/>
  <c r="E1295" i="9"/>
  <c r="E1279" i="9"/>
  <c r="E1231" i="9"/>
  <c r="E1151" i="9"/>
  <c r="E1215" i="9"/>
  <c r="E1199" i="9"/>
  <c r="E1135" i="9"/>
  <c r="E1183" i="9"/>
  <c r="E1167" i="9"/>
  <c r="E1263" i="9"/>
  <c r="E1247" i="9"/>
  <c r="Y265" i="1"/>
  <c r="Y433" i="1"/>
  <c r="AC265" i="1"/>
  <c r="AC433" i="1"/>
  <c r="AG265" i="1"/>
  <c r="AG433" i="1"/>
  <c r="AK265" i="1"/>
  <c r="AK433" i="1"/>
  <c r="Z337" i="1"/>
  <c r="Z507" i="1"/>
  <c r="AH337" i="1"/>
  <c r="AH507" i="1"/>
  <c r="AE337" i="1"/>
  <c r="AE507" i="1"/>
  <c r="X337" i="1"/>
  <c r="X507" i="1"/>
  <c r="AB337" i="1"/>
  <c r="AB507" i="1"/>
  <c r="AF337" i="1"/>
  <c r="AF507" i="1"/>
  <c r="AJ337" i="1"/>
  <c r="AJ507" i="1"/>
  <c r="AD337" i="1"/>
  <c r="AD507" i="1"/>
  <c r="AA337" i="1"/>
  <c r="AA507" i="1"/>
  <c r="AI337" i="1"/>
  <c r="AI507" i="1"/>
  <c r="Y337" i="1"/>
  <c r="Y507" i="1"/>
  <c r="AC337" i="1"/>
  <c r="AC507" i="1"/>
  <c r="AG337" i="1"/>
  <c r="AG507" i="1"/>
  <c r="AK337" i="1"/>
  <c r="AK507" i="1"/>
  <c r="E1107" i="9"/>
  <c r="E1091" i="9"/>
  <c r="E1075" i="9"/>
  <c r="E1059" i="9"/>
  <c r="E1043" i="9"/>
  <c r="E1027" i="9"/>
  <c r="E1011" i="9"/>
  <c r="E995" i="9"/>
  <c r="E979" i="9"/>
  <c r="E963" i="9"/>
  <c r="E947" i="9"/>
  <c r="E931" i="9"/>
  <c r="E915" i="9"/>
  <c r="E899" i="9"/>
  <c r="E883" i="9"/>
  <c r="E867" i="9"/>
  <c r="E851" i="9"/>
  <c r="E835" i="9"/>
  <c r="E819" i="9"/>
  <c r="E803" i="9"/>
  <c r="E771" i="9"/>
  <c r="E755" i="9"/>
  <c r="E739" i="9"/>
  <c r="E723" i="9"/>
  <c r="E707" i="9"/>
  <c r="E691" i="9"/>
  <c r="E675" i="9"/>
  <c r="E659" i="9"/>
  <c r="E643" i="9"/>
  <c r="E627" i="9"/>
  <c r="E611" i="9"/>
  <c r="E595" i="9"/>
  <c r="E547" i="9"/>
  <c r="E563" i="9"/>
  <c r="E787" i="9"/>
  <c r="E579" i="9"/>
  <c r="E275" i="9"/>
  <c r="E259" i="9"/>
  <c r="E531" i="9"/>
  <c r="E515" i="9"/>
  <c r="E499" i="9"/>
  <c r="E483" i="9"/>
  <c r="E467" i="9"/>
  <c r="E451" i="9"/>
  <c r="E435" i="9"/>
  <c r="E419" i="9"/>
  <c r="E403" i="9"/>
  <c r="E387" i="9"/>
  <c r="E371" i="9"/>
  <c r="E355" i="9"/>
  <c r="E339" i="9"/>
  <c r="E323" i="9"/>
  <c r="E307" i="9"/>
  <c r="E291" i="9"/>
  <c r="E243" i="9"/>
  <c r="E227" i="9"/>
  <c r="E211" i="9"/>
  <c r="E195" i="9"/>
  <c r="E179" i="9"/>
  <c r="E163" i="9"/>
  <c r="E147" i="9"/>
  <c r="W4" i="1"/>
  <c r="E3" i="9"/>
  <c r="E19" i="9"/>
  <c r="E131" i="9"/>
  <c r="E115" i="9"/>
  <c r="E99" i="9"/>
  <c r="E83" i="9"/>
  <c r="E67" i="9"/>
  <c r="E51" i="9"/>
  <c r="E35" i="9"/>
  <c r="E1115" i="9"/>
  <c r="E1099" i="9"/>
  <c r="E1083" i="9"/>
  <c r="E1067" i="9"/>
  <c r="E1051" i="9"/>
  <c r="E1035" i="9"/>
  <c r="E1019" i="9"/>
  <c r="E1003" i="9"/>
  <c r="E987" i="9"/>
  <c r="E971" i="9"/>
  <c r="E955" i="9"/>
  <c r="E939" i="9"/>
  <c r="E923" i="9"/>
  <c r="E907" i="9"/>
  <c r="E891" i="9"/>
  <c r="E875" i="9"/>
  <c r="E859" i="9"/>
  <c r="E843" i="9"/>
  <c r="E827" i="9"/>
  <c r="E811" i="9"/>
  <c r="E795" i="9"/>
  <c r="E779" i="9"/>
  <c r="E763" i="9"/>
  <c r="E747" i="9"/>
  <c r="E731" i="9"/>
  <c r="E715" i="9"/>
  <c r="E699" i="9"/>
  <c r="E683" i="9"/>
  <c r="E667" i="9"/>
  <c r="E651" i="9"/>
  <c r="E635" i="9"/>
  <c r="E619" i="9"/>
  <c r="E603" i="9"/>
  <c r="E555" i="9"/>
  <c r="E571" i="9"/>
  <c r="E587" i="9"/>
  <c r="E283" i="9"/>
  <c r="E267" i="9"/>
  <c r="E539" i="9"/>
  <c r="E523" i="9"/>
  <c r="E507" i="9"/>
  <c r="E491" i="9"/>
  <c r="E475" i="9"/>
  <c r="E459" i="9"/>
  <c r="E443" i="9"/>
  <c r="E427" i="9"/>
  <c r="E411" i="9"/>
  <c r="E395" i="9"/>
  <c r="E379" i="9"/>
  <c r="E363" i="9"/>
  <c r="E347" i="9"/>
  <c r="E331" i="9"/>
  <c r="E315" i="9"/>
  <c r="E299" i="9"/>
  <c r="E251" i="9"/>
  <c r="E235" i="9"/>
  <c r="E219" i="9"/>
  <c r="E203" i="9"/>
  <c r="E187" i="9"/>
  <c r="E171" i="9"/>
  <c r="E155" i="9"/>
  <c r="AE4" i="1"/>
  <c r="E11" i="9"/>
  <c r="E139" i="9"/>
  <c r="E123" i="9"/>
  <c r="E107" i="9"/>
  <c r="E91" i="9"/>
  <c r="E75" i="9"/>
  <c r="E59" i="9"/>
  <c r="E27" i="9"/>
  <c r="E43" i="9"/>
  <c r="E1109" i="9"/>
  <c r="E1093" i="9"/>
  <c r="E1077" i="9"/>
  <c r="E1061" i="9"/>
  <c r="E1045" i="9"/>
  <c r="E1029" i="9"/>
  <c r="E1013" i="9"/>
  <c r="E997" i="9"/>
  <c r="E981" i="9"/>
  <c r="E965" i="9"/>
  <c r="E949" i="9"/>
  <c r="E933" i="9"/>
  <c r="E917" i="9"/>
  <c r="E901" i="9"/>
  <c r="E885" i="9"/>
  <c r="E869" i="9"/>
  <c r="E853" i="9"/>
  <c r="E837" i="9"/>
  <c r="E821" i="9"/>
  <c r="E805" i="9"/>
  <c r="E789" i="9"/>
  <c r="E581" i="9"/>
  <c r="E565" i="9"/>
  <c r="E773" i="9"/>
  <c r="E757" i="9"/>
  <c r="E741" i="9"/>
  <c r="E725" i="9"/>
  <c r="E709" i="9"/>
  <c r="E693" i="9"/>
  <c r="E677" i="9"/>
  <c r="E661" i="9"/>
  <c r="E645" i="9"/>
  <c r="E629" i="9"/>
  <c r="E613" i="9"/>
  <c r="E597" i="9"/>
  <c r="E549" i="9"/>
  <c r="E533" i="9"/>
  <c r="E517" i="9"/>
  <c r="E501" i="9"/>
  <c r="E485" i="9"/>
  <c r="E469" i="9"/>
  <c r="E453" i="9"/>
  <c r="E437" i="9"/>
  <c r="E421" i="9"/>
  <c r="E405" i="9"/>
  <c r="E389" i="9"/>
  <c r="E373" i="9"/>
  <c r="E357" i="9"/>
  <c r="E341" i="9"/>
  <c r="E325" i="9"/>
  <c r="E309" i="9"/>
  <c r="E293" i="9"/>
  <c r="E245" i="9"/>
  <c r="E229" i="9"/>
  <c r="E213" i="9"/>
  <c r="E277" i="9"/>
  <c r="E261" i="9"/>
  <c r="E149" i="9"/>
  <c r="E181" i="9"/>
  <c r="E165" i="9"/>
  <c r="E197" i="9"/>
  <c r="E21" i="9"/>
  <c r="Y4" i="1"/>
  <c r="E37" i="9"/>
  <c r="E133" i="9"/>
  <c r="E117" i="9"/>
  <c r="E101" i="9"/>
  <c r="E85" i="9"/>
  <c r="E69" i="9"/>
  <c r="E53" i="9"/>
  <c r="E5" i="9"/>
  <c r="E1113" i="9"/>
  <c r="E1097" i="9"/>
  <c r="E1081" i="9"/>
  <c r="E1065" i="9"/>
  <c r="E1049" i="9"/>
  <c r="E1033" i="9"/>
  <c r="E1017" i="9"/>
  <c r="E1001" i="9"/>
  <c r="E985" i="9"/>
  <c r="E969" i="9"/>
  <c r="E953" i="9"/>
  <c r="E937" i="9"/>
  <c r="E921" i="9"/>
  <c r="E905" i="9"/>
  <c r="E889" i="9"/>
  <c r="E873" i="9"/>
  <c r="E857" i="9"/>
  <c r="E841" i="9"/>
  <c r="E825" i="9"/>
  <c r="E809" i="9"/>
  <c r="E793" i="9"/>
  <c r="E585" i="9"/>
  <c r="E569" i="9"/>
  <c r="E553" i="9"/>
  <c r="E777" i="9"/>
  <c r="E761" i="9"/>
  <c r="E745" i="9"/>
  <c r="E729" i="9"/>
  <c r="E713" i="9"/>
  <c r="E697" i="9"/>
  <c r="E681" i="9"/>
  <c r="E665" i="9"/>
  <c r="E649" i="9"/>
  <c r="E633" i="9"/>
  <c r="E617" i="9"/>
  <c r="E601" i="9"/>
  <c r="E537" i="9"/>
  <c r="E521" i="9"/>
  <c r="E505" i="9"/>
  <c r="E489" i="9"/>
  <c r="E473" i="9"/>
  <c r="E457" i="9"/>
  <c r="E441" i="9"/>
  <c r="E425" i="9"/>
  <c r="E409" i="9"/>
  <c r="E393" i="9"/>
  <c r="E377" i="9"/>
  <c r="E361" i="9"/>
  <c r="E345" i="9"/>
  <c r="E329" i="9"/>
  <c r="E313" i="9"/>
  <c r="E297" i="9"/>
  <c r="E249" i="9"/>
  <c r="E233" i="9"/>
  <c r="E217" i="9"/>
  <c r="E281" i="9"/>
  <c r="E265" i="9"/>
  <c r="E153" i="9"/>
  <c r="E201" i="9"/>
  <c r="E169" i="9"/>
  <c r="E185" i="9"/>
  <c r="E25" i="9"/>
  <c r="E41" i="9"/>
  <c r="AC4" i="1"/>
  <c r="E137" i="9"/>
  <c r="E121" i="9"/>
  <c r="E105" i="9"/>
  <c r="E89" i="9"/>
  <c r="E73" i="9"/>
  <c r="E57" i="9"/>
  <c r="E9" i="9"/>
  <c r="E1117" i="9"/>
  <c r="E1101" i="9"/>
  <c r="E1085" i="9"/>
  <c r="E1069" i="9"/>
  <c r="E1053" i="9"/>
  <c r="E1037" i="9"/>
  <c r="E1021" i="9"/>
  <c r="E1005" i="9"/>
  <c r="E989" i="9"/>
  <c r="E973" i="9"/>
  <c r="E957" i="9"/>
  <c r="E941" i="9"/>
  <c r="E925" i="9"/>
  <c r="E909" i="9"/>
  <c r="E893" i="9"/>
  <c r="E877" i="9"/>
  <c r="E861" i="9"/>
  <c r="E845" i="9"/>
  <c r="E829" i="9"/>
  <c r="E813" i="9"/>
  <c r="E797" i="9"/>
  <c r="E589" i="9"/>
  <c r="E573" i="9"/>
  <c r="E781" i="9"/>
  <c r="E765" i="9"/>
  <c r="E749" i="9"/>
  <c r="E733" i="9"/>
  <c r="E717" i="9"/>
  <c r="E701" i="9"/>
  <c r="E685" i="9"/>
  <c r="E669" i="9"/>
  <c r="E653" i="9"/>
  <c r="E637" i="9"/>
  <c r="E621" i="9"/>
  <c r="E605" i="9"/>
  <c r="E557" i="9"/>
  <c r="E541" i="9"/>
  <c r="E525" i="9"/>
  <c r="E509" i="9"/>
  <c r="E493" i="9"/>
  <c r="E477" i="9"/>
  <c r="E461" i="9"/>
  <c r="E445" i="9"/>
  <c r="E429" i="9"/>
  <c r="E413" i="9"/>
  <c r="E397" i="9"/>
  <c r="E381" i="9"/>
  <c r="E365" i="9"/>
  <c r="E349" i="9"/>
  <c r="E333" i="9"/>
  <c r="E317" i="9"/>
  <c r="E301" i="9"/>
  <c r="E253" i="9"/>
  <c r="E237" i="9"/>
  <c r="E221" i="9"/>
  <c r="E285" i="9"/>
  <c r="E269" i="9"/>
  <c r="E157" i="9"/>
  <c r="E189" i="9"/>
  <c r="E205" i="9"/>
  <c r="E173" i="9"/>
  <c r="E29" i="9"/>
  <c r="AG4" i="1"/>
  <c r="E45" i="9"/>
  <c r="E141" i="9"/>
  <c r="E125" i="9"/>
  <c r="E109" i="9"/>
  <c r="E93" i="9"/>
  <c r="E77" i="9"/>
  <c r="E61" i="9"/>
  <c r="E13" i="9"/>
  <c r="E1121" i="9"/>
  <c r="E1105" i="9"/>
  <c r="E1089" i="9"/>
  <c r="E1073" i="9"/>
  <c r="E1057" i="9"/>
  <c r="E1041" i="9"/>
  <c r="E1025" i="9"/>
  <c r="E1009" i="9"/>
  <c r="E993" i="9"/>
  <c r="E977" i="9"/>
  <c r="E961" i="9"/>
  <c r="E945" i="9"/>
  <c r="E929" i="9"/>
  <c r="E913" i="9"/>
  <c r="E897" i="9"/>
  <c r="E881" i="9"/>
  <c r="E865" i="9"/>
  <c r="E849" i="9"/>
  <c r="E833" i="9"/>
  <c r="E817" i="9"/>
  <c r="E801" i="9"/>
  <c r="E785" i="9"/>
  <c r="E593" i="9"/>
  <c r="E577" i="9"/>
  <c r="E769" i="9"/>
  <c r="E753" i="9"/>
  <c r="E737" i="9"/>
  <c r="E721" i="9"/>
  <c r="E705" i="9"/>
  <c r="E689" i="9"/>
  <c r="E673" i="9"/>
  <c r="E657" i="9"/>
  <c r="E641" i="9"/>
  <c r="E625" i="9"/>
  <c r="E609" i="9"/>
  <c r="E561" i="9"/>
  <c r="E545" i="9"/>
  <c r="E529" i="9"/>
  <c r="E513" i="9"/>
  <c r="E497" i="9"/>
  <c r="E481" i="9"/>
  <c r="E465" i="9"/>
  <c r="E449" i="9"/>
  <c r="E433" i="9"/>
  <c r="E417" i="9"/>
  <c r="E401" i="9"/>
  <c r="E385" i="9"/>
  <c r="E369" i="9"/>
  <c r="E353" i="9"/>
  <c r="E337" i="9"/>
  <c r="E321" i="9"/>
  <c r="E305" i="9"/>
  <c r="E257" i="9"/>
  <c r="E241" i="9"/>
  <c r="E225" i="9"/>
  <c r="E209" i="9"/>
  <c r="E289" i="9"/>
  <c r="E273" i="9"/>
  <c r="E161" i="9"/>
  <c r="E177" i="9"/>
  <c r="E193" i="9"/>
  <c r="E33" i="9"/>
  <c r="E49" i="9"/>
  <c r="E145" i="9"/>
  <c r="E129" i="9"/>
  <c r="E113" i="9"/>
  <c r="E97" i="9"/>
  <c r="E81" i="9"/>
  <c r="E65" i="9"/>
  <c r="E17" i="9"/>
  <c r="AK4" i="1"/>
  <c r="E1060" i="9"/>
  <c r="E996" i="9"/>
  <c r="E932" i="9"/>
  <c r="E868" i="9"/>
  <c r="E820" i="9"/>
  <c r="E804" i="9"/>
  <c r="E772" i="9"/>
  <c r="E756" i="9"/>
  <c r="E740" i="9"/>
  <c r="E724" i="9"/>
  <c r="E708" i="9"/>
  <c r="E692" i="9"/>
  <c r="E676" i="9"/>
  <c r="E660" i="9"/>
  <c r="E644" i="9"/>
  <c r="E628" i="9"/>
  <c r="E612" i="9"/>
  <c r="E596" i="9"/>
  <c r="E1108" i="9"/>
  <c r="E1044" i="9"/>
  <c r="E980" i="9"/>
  <c r="E916" i="9"/>
  <c r="E852" i="9"/>
  <c r="E788" i="9"/>
  <c r="E1092" i="9"/>
  <c r="E1028" i="9"/>
  <c r="E964" i="9"/>
  <c r="E900" i="9"/>
  <c r="E836" i="9"/>
  <c r="E580" i="9"/>
  <c r="E564" i="9"/>
  <c r="E1076" i="9"/>
  <c r="E1012" i="9"/>
  <c r="E948" i="9"/>
  <c r="E884" i="9"/>
  <c r="E548" i="9"/>
  <c r="E276" i="9"/>
  <c r="E260" i="9"/>
  <c r="E532" i="9"/>
  <c r="E468" i="9"/>
  <c r="E404" i="9"/>
  <c r="E340" i="9"/>
  <c r="E244" i="9"/>
  <c r="E500" i="9"/>
  <c r="E212" i="9"/>
  <c r="E516" i="9"/>
  <c r="E452" i="9"/>
  <c r="E388" i="9"/>
  <c r="E324" i="9"/>
  <c r="E228" i="9"/>
  <c r="E148" i="9"/>
  <c r="E308" i="9"/>
  <c r="E484" i="9"/>
  <c r="E420" i="9"/>
  <c r="E356" i="9"/>
  <c r="E292" i="9"/>
  <c r="E196" i="9"/>
  <c r="E180" i="9"/>
  <c r="E164" i="9"/>
  <c r="E436" i="9"/>
  <c r="E372" i="9"/>
  <c r="E132" i="9"/>
  <c r="E116" i="9"/>
  <c r="E100" i="9"/>
  <c r="E84" i="9"/>
  <c r="E68" i="9"/>
  <c r="E52" i="9"/>
  <c r="E4" i="9"/>
  <c r="E20" i="9"/>
  <c r="X4" i="1"/>
  <c r="E36" i="9"/>
  <c r="E1112" i="9"/>
  <c r="E1048" i="9"/>
  <c r="E984" i="9"/>
  <c r="E920" i="9"/>
  <c r="E856" i="9"/>
  <c r="E776" i="9"/>
  <c r="E760" i="9"/>
  <c r="E744" i="9"/>
  <c r="E728" i="9"/>
  <c r="E712" i="9"/>
  <c r="E696" i="9"/>
  <c r="E680" i="9"/>
  <c r="E664" i="9"/>
  <c r="E648" i="9"/>
  <c r="E632" i="9"/>
  <c r="E616" i="9"/>
  <c r="E600" i="9"/>
  <c r="E552" i="9"/>
  <c r="E1096" i="9"/>
  <c r="E1032" i="9"/>
  <c r="E968" i="9"/>
  <c r="E904" i="9"/>
  <c r="E840" i="9"/>
  <c r="E1080" i="9"/>
  <c r="E1016" i="9"/>
  <c r="E952" i="9"/>
  <c r="E888" i="9"/>
  <c r="E824" i="9"/>
  <c r="E808" i="9"/>
  <c r="E792" i="9"/>
  <c r="E584" i="9"/>
  <c r="E568" i="9"/>
  <c r="E1064" i="9"/>
  <c r="E1000" i="9"/>
  <c r="E936" i="9"/>
  <c r="E872" i="9"/>
  <c r="E280" i="9"/>
  <c r="E264" i="9"/>
  <c r="E520" i="9"/>
  <c r="E456" i="9"/>
  <c r="E392" i="9"/>
  <c r="E328" i="9"/>
  <c r="E232" i="9"/>
  <c r="E152" i="9"/>
  <c r="E488" i="9"/>
  <c r="E424" i="9"/>
  <c r="E296" i="9"/>
  <c r="E504" i="9"/>
  <c r="E440" i="9"/>
  <c r="E376" i="9"/>
  <c r="E312" i="9"/>
  <c r="E216" i="9"/>
  <c r="E360" i="9"/>
  <c r="E536" i="9"/>
  <c r="E472" i="9"/>
  <c r="E408" i="9"/>
  <c r="E344" i="9"/>
  <c r="E248" i="9"/>
  <c r="E200" i="9"/>
  <c r="E184" i="9"/>
  <c r="E168" i="9"/>
  <c r="E136" i="9"/>
  <c r="E120" i="9"/>
  <c r="E104" i="9"/>
  <c r="E88" i="9"/>
  <c r="E72" i="9"/>
  <c r="E56" i="9"/>
  <c r="E8" i="9"/>
  <c r="AB4" i="1"/>
  <c r="E40" i="9"/>
  <c r="E24" i="9"/>
  <c r="E1100" i="9"/>
  <c r="E1036" i="9"/>
  <c r="E972" i="9"/>
  <c r="E908" i="9"/>
  <c r="E844" i="9"/>
  <c r="E812" i="9"/>
  <c r="E796" i="9"/>
  <c r="E780" i="9"/>
  <c r="E764" i="9"/>
  <c r="E748" i="9"/>
  <c r="E732" i="9"/>
  <c r="E716" i="9"/>
  <c r="E700" i="9"/>
  <c r="E684" i="9"/>
  <c r="E668" i="9"/>
  <c r="E652" i="9"/>
  <c r="E636" i="9"/>
  <c r="E620" i="9"/>
  <c r="E604" i="9"/>
  <c r="E556" i="9"/>
  <c r="E1084" i="9"/>
  <c r="E1020" i="9"/>
  <c r="E956" i="9"/>
  <c r="E892" i="9"/>
  <c r="E828" i="9"/>
  <c r="E1068" i="9"/>
  <c r="E1004" i="9"/>
  <c r="E940" i="9"/>
  <c r="E876" i="9"/>
  <c r="E588" i="9"/>
  <c r="E572" i="9"/>
  <c r="E1116" i="9"/>
  <c r="E1052" i="9"/>
  <c r="E988" i="9"/>
  <c r="E924" i="9"/>
  <c r="E860" i="9"/>
  <c r="E284" i="9"/>
  <c r="E268" i="9"/>
  <c r="E508" i="9"/>
  <c r="E444" i="9"/>
  <c r="E380" i="9"/>
  <c r="E316" i="9"/>
  <c r="E220" i="9"/>
  <c r="E540" i="9"/>
  <c r="E476" i="9"/>
  <c r="E412" i="9"/>
  <c r="E492" i="9"/>
  <c r="E428" i="9"/>
  <c r="E364" i="9"/>
  <c r="E300" i="9"/>
  <c r="E156" i="9"/>
  <c r="E524" i="9"/>
  <c r="E460" i="9"/>
  <c r="E396" i="9"/>
  <c r="E332" i="9"/>
  <c r="E236" i="9"/>
  <c r="E204" i="9"/>
  <c r="E188" i="9"/>
  <c r="E172" i="9"/>
  <c r="E348" i="9"/>
  <c r="E252" i="9"/>
  <c r="E140" i="9"/>
  <c r="E124" i="9"/>
  <c r="E108" i="9"/>
  <c r="E92" i="9"/>
  <c r="E76" i="9"/>
  <c r="E60" i="9"/>
  <c r="E12" i="9"/>
  <c r="AF4" i="1"/>
  <c r="E44" i="9"/>
  <c r="E28" i="9"/>
  <c r="E1088" i="9"/>
  <c r="E1024" i="9"/>
  <c r="E960" i="9"/>
  <c r="E896" i="9"/>
  <c r="E832" i="9"/>
  <c r="E784" i="9"/>
  <c r="E768" i="9"/>
  <c r="E752" i="9"/>
  <c r="E736" i="9"/>
  <c r="E720" i="9"/>
  <c r="E704" i="9"/>
  <c r="E688" i="9"/>
  <c r="E672" i="9"/>
  <c r="E656" i="9"/>
  <c r="E640" i="9"/>
  <c r="E624" i="9"/>
  <c r="E608" i="9"/>
  <c r="E560" i="9"/>
  <c r="E1072" i="9"/>
  <c r="E1008" i="9"/>
  <c r="E944" i="9"/>
  <c r="E880" i="9"/>
  <c r="E1120" i="9"/>
  <c r="E1056" i="9"/>
  <c r="E992" i="9"/>
  <c r="E928" i="9"/>
  <c r="E864" i="9"/>
  <c r="E816" i="9"/>
  <c r="E800" i="9"/>
  <c r="E592" i="9"/>
  <c r="E576" i="9"/>
  <c r="E1104" i="9"/>
  <c r="E1040" i="9"/>
  <c r="E976" i="9"/>
  <c r="E912" i="9"/>
  <c r="E848" i="9"/>
  <c r="E288" i="9"/>
  <c r="E272" i="9"/>
  <c r="E496" i="9"/>
  <c r="E432" i="9"/>
  <c r="E368" i="9"/>
  <c r="E304" i="9"/>
  <c r="E208" i="9"/>
  <c r="E160" i="9"/>
  <c r="E528" i="9"/>
  <c r="E464" i="9"/>
  <c r="E400" i="9"/>
  <c r="E544" i="9"/>
  <c r="E480" i="9"/>
  <c r="E416" i="9"/>
  <c r="E352" i="9"/>
  <c r="E256" i="9"/>
  <c r="E336" i="9"/>
  <c r="E240" i="9"/>
  <c r="E512" i="9"/>
  <c r="E448" i="9"/>
  <c r="E384" i="9"/>
  <c r="E320" i="9"/>
  <c r="E224" i="9"/>
  <c r="E192" i="9"/>
  <c r="E176" i="9"/>
  <c r="E144" i="9"/>
  <c r="E128" i="9"/>
  <c r="E112" i="9"/>
  <c r="E96" i="9"/>
  <c r="E80" i="9"/>
  <c r="E64" i="9"/>
  <c r="E16" i="9"/>
  <c r="AJ4" i="1"/>
  <c r="E32" i="9"/>
  <c r="E48" i="9"/>
  <c r="E1110" i="9"/>
  <c r="E1094" i="9"/>
  <c r="E1078" i="9"/>
  <c r="E1062" i="9"/>
  <c r="E1046" i="9"/>
  <c r="E1030" i="9"/>
  <c r="E1014" i="9"/>
  <c r="E998" i="9"/>
  <c r="E982" i="9"/>
  <c r="E966" i="9"/>
  <c r="E950" i="9"/>
  <c r="E934" i="9"/>
  <c r="E918" i="9"/>
  <c r="E902" i="9"/>
  <c r="E886" i="9"/>
  <c r="E870" i="9"/>
  <c r="E854" i="9"/>
  <c r="E838" i="9"/>
  <c r="E790" i="9"/>
  <c r="E582" i="9"/>
  <c r="E566" i="9"/>
  <c r="E774" i="9"/>
  <c r="E758" i="9"/>
  <c r="E742" i="9"/>
  <c r="E726" i="9"/>
  <c r="E710" i="9"/>
  <c r="E694" i="9"/>
  <c r="E678" i="9"/>
  <c r="E662" i="9"/>
  <c r="E646" i="9"/>
  <c r="E630" i="9"/>
  <c r="E614" i="9"/>
  <c r="E598" i="9"/>
  <c r="E550" i="9"/>
  <c r="E822" i="9"/>
  <c r="E806" i="9"/>
  <c r="E534" i="9"/>
  <c r="E518" i="9"/>
  <c r="E502" i="9"/>
  <c r="E486" i="9"/>
  <c r="E470" i="9"/>
  <c r="E454" i="9"/>
  <c r="E438" i="9"/>
  <c r="E422" i="9"/>
  <c r="E406" i="9"/>
  <c r="E390" i="9"/>
  <c r="E374" i="9"/>
  <c r="E358" i="9"/>
  <c r="E342" i="9"/>
  <c r="E326" i="9"/>
  <c r="E310" i="9"/>
  <c r="E294" i="9"/>
  <c r="E246" i="9"/>
  <c r="E230" i="9"/>
  <c r="E214" i="9"/>
  <c r="E182" i="9"/>
  <c r="E278" i="9"/>
  <c r="E262" i="9"/>
  <c r="E198" i="9"/>
  <c r="E166" i="9"/>
  <c r="E150" i="9"/>
  <c r="E38" i="9"/>
  <c r="E134" i="9"/>
  <c r="E102" i="9"/>
  <c r="E86" i="9"/>
  <c r="E70" i="9"/>
  <c r="E54" i="9"/>
  <c r="E118" i="9"/>
  <c r="E22" i="9"/>
  <c r="Z4" i="1"/>
  <c r="E6" i="9"/>
  <c r="E1114" i="9"/>
  <c r="E1098" i="9"/>
  <c r="E1082" i="9"/>
  <c r="E1066" i="9"/>
  <c r="E1050" i="9"/>
  <c r="E1034" i="9"/>
  <c r="E1018" i="9"/>
  <c r="E1002" i="9"/>
  <c r="E986" i="9"/>
  <c r="E970" i="9"/>
  <c r="E954" i="9"/>
  <c r="E938" i="9"/>
  <c r="E922" i="9"/>
  <c r="E906" i="9"/>
  <c r="E890" i="9"/>
  <c r="E874" i="9"/>
  <c r="E858" i="9"/>
  <c r="E842" i="9"/>
  <c r="E826" i="9"/>
  <c r="E586" i="9"/>
  <c r="E570" i="9"/>
  <c r="E810" i="9"/>
  <c r="E794" i="9"/>
  <c r="E778" i="9"/>
  <c r="E762" i="9"/>
  <c r="E746" i="9"/>
  <c r="E730" i="9"/>
  <c r="E714" i="9"/>
  <c r="E698" i="9"/>
  <c r="E682" i="9"/>
  <c r="E666" i="9"/>
  <c r="E650" i="9"/>
  <c r="E634" i="9"/>
  <c r="E618" i="9"/>
  <c r="E602" i="9"/>
  <c r="E554" i="9"/>
  <c r="E538" i="9"/>
  <c r="E522" i="9"/>
  <c r="E506" i="9"/>
  <c r="E490" i="9"/>
  <c r="E474" i="9"/>
  <c r="E458" i="9"/>
  <c r="E442" i="9"/>
  <c r="E426" i="9"/>
  <c r="E410" i="9"/>
  <c r="E394" i="9"/>
  <c r="E378" i="9"/>
  <c r="E362" i="9"/>
  <c r="E346" i="9"/>
  <c r="E330" i="9"/>
  <c r="E314" i="9"/>
  <c r="E298" i="9"/>
  <c r="E250" i="9"/>
  <c r="E234" i="9"/>
  <c r="E218" i="9"/>
  <c r="E282" i="9"/>
  <c r="E266" i="9"/>
  <c r="E186" i="9"/>
  <c r="E202" i="9"/>
  <c r="E170" i="9"/>
  <c r="E154" i="9"/>
  <c r="E42" i="9"/>
  <c r="E106" i="9"/>
  <c r="E138" i="9"/>
  <c r="E122" i="9"/>
  <c r="E90" i="9"/>
  <c r="E74" i="9"/>
  <c r="E58" i="9"/>
  <c r="E26" i="9"/>
  <c r="AD4" i="1"/>
  <c r="E10" i="9"/>
  <c r="E1118" i="9"/>
  <c r="E1102" i="9"/>
  <c r="E1086" i="9"/>
  <c r="E1070" i="9"/>
  <c r="E1054" i="9"/>
  <c r="E1038" i="9"/>
  <c r="E1022" i="9"/>
  <c r="E1006" i="9"/>
  <c r="E990" i="9"/>
  <c r="E974" i="9"/>
  <c r="E958" i="9"/>
  <c r="E942" i="9"/>
  <c r="E926" i="9"/>
  <c r="E910" i="9"/>
  <c r="E894" i="9"/>
  <c r="E878" i="9"/>
  <c r="E862" i="9"/>
  <c r="E846" i="9"/>
  <c r="E830" i="9"/>
  <c r="E590" i="9"/>
  <c r="E574" i="9"/>
  <c r="E782" i="9"/>
  <c r="E766" i="9"/>
  <c r="E750" i="9"/>
  <c r="E734" i="9"/>
  <c r="E718" i="9"/>
  <c r="E702" i="9"/>
  <c r="E686" i="9"/>
  <c r="E670" i="9"/>
  <c r="E654" i="9"/>
  <c r="E638" i="9"/>
  <c r="E622" i="9"/>
  <c r="E606" i="9"/>
  <c r="E558" i="9"/>
  <c r="E814" i="9"/>
  <c r="E798" i="9"/>
  <c r="E542" i="9"/>
  <c r="E526" i="9"/>
  <c r="E510" i="9"/>
  <c r="E494" i="9"/>
  <c r="E478" i="9"/>
  <c r="E462" i="9"/>
  <c r="E446" i="9"/>
  <c r="E430" i="9"/>
  <c r="E414" i="9"/>
  <c r="E398" i="9"/>
  <c r="E382" i="9"/>
  <c r="E366" i="9"/>
  <c r="E350" i="9"/>
  <c r="E334" i="9"/>
  <c r="E318" i="9"/>
  <c r="E302" i="9"/>
  <c r="E254" i="9"/>
  <c r="E238" i="9"/>
  <c r="E222" i="9"/>
  <c r="E190" i="9"/>
  <c r="E206" i="9"/>
  <c r="E174" i="9"/>
  <c r="E286" i="9"/>
  <c r="E270" i="9"/>
  <c r="E158" i="9"/>
  <c r="E46" i="9"/>
  <c r="E142" i="9"/>
  <c r="E110" i="9"/>
  <c r="E126" i="9"/>
  <c r="E94" i="9"/>
  <c r="E78" i="9"/>
  <c r="E62" i="9"/>
  <c r="E14" i="9"/>
  <c r="E30" i="9"/>
  <c r="AH4" i="1"/>
  <c r="E1111" i="9"/>
  <c r="E1095" i="9"/>
  <c r="E1079" i="9"/>
  <c r="E1063" i="9"/>
  <c r="E1047" i="9"/>
  <c r="E1031" i="9"/>
  <c r="E1015" i="9"/>
  <c r="E999" i="9"/>
  <c r="E983" i="9"/>
  <c r="E967" i="9"/>
  <c r="E951" i="9"/>
  <c r="E935" i="9"/>
  <c r="E919" i="9"/>
  <c r="E903" i="9"/>
  <c r="E887" i="9"/>
  <c r="E871" i="9"/>
  <c r="E855" i="9"/>
  <c r="E839" i="9"/>
  <c r="E823" i="9"/>
  <c r="E807" i="9"/>
  <c r="E775" i="9"/>
  <c r="E759" i="9"/>
  <c r="E743" i="9"/>
  <c r="E727" i="9"/>
  <c r="E711" i="9"/>
  <c r="E695" i="9"/>
  <c r="E679" i="9"/>
  <c r="E663" i="9"/>
  <c r="E647" i="9"/>
  <c r="E631" i="9"/>
  <c r="E615" i="9"/>
  <c r="E599" i="9"/>
  <c r="E551" i="9"/>
  <c r="E791" i="9"/>
  <c r="E583" i="9"/>
  <c r="E567" i="9"/>
  <c r="E279" i="9"/>
  <c r="E263" i="9"/>
  <c r="E535" i="9"/>
  <c r="E519" i="9"/>
  <c r="E503" i="9"/>
  <c r="E487" i="9"/>
  <c r="E471" i="9"/>
  <c r="E455" i="9"/>
  <c r="E439" i="9"/>
  <c r="E423" i="9"/>
  <c r="E407" i="9"/>
  <c r="E391" i="9"/>
  <c r="E375" i="9"/>
  <c r="E359" i="9"/>
  <c r="E343" i="9"/>
  <c r="E327" i="9"/>
  <c r="E311" i="9"/>
  <c r="E295" i="9"/>
  <c r="E247" i="9"/>
  <c r="E231" i="9"/>
  <c r="E215" i="9"/>
  <c r="E199" i="9"/>
  <c r="E183" i="9"/>
  <c r="E167" i="9"/>
  <c r="E151" i="9"/>
  <c r="AA4" i="1"/>
  <c r="E7" i="9"/>
  <c r="E23" i="9"/>
  <c r="E135" i="9"/>
  <c r="E119" i="9"/>
  <c r="E103" i="9"/>
  <c r="E87" i="9"/>
  <c r="E71" i="9"/>
  <c r="E55" i="9"/>
  <c r="E39" i="9"/>
  <c r="E1119" i="9"/>
  <c r="E1103" i="9"/>
  <c r="E1087" i="9"/>
  <c r="E1071" i="9"/>
  <c r="E1055" i="9"/>
  <c r="E1039" i="9"/>
  <c r="E1023" i="9"/>
  <c r="E1007" i="9"/>
  <c r="E991" i="9"/>
  <c r="E975" i="9"/>
  <c r="E959" i="9"/>
  <c r="E943" i="9"/>
  <c r="E927" i="9"/>
  <c r="E911" i="9"/>
  <c r="E895" i="9"/>
  <c r="E879" i="9"/>
  <c r="E863" i="9"/>
  <c r="E847" i="9"/>
  <c r="E831" i="9"/>
  <c r="E815" i="9"/>
  <c r="E799" i="9"/>
  <c r="E783" i="9"/>
  <c r="E767" i="9"/>
  <c r="E751" i="9"/>
  <c r="E735" i="9"/>
  <c r="E719" i="9"/>
  <c r="E703" i="9"/>
  <c r="E687" i="9"/>
  <c r="E671" i="9"/>
  <c r="E655" i="9"/>
  <c r="E639" i="9"/>
  <c r="E623" i="9"/>
  <c r="E607" i="9"/>
  <c r="E559" i="9"/>
  <c r="E591" i="9"/>
  <c r="E575" i="9"/>
  <c r="E287" i="9"/>
  <c r="E271" i="9"/>
  <c r="E543" i="9"/>
  <c r="E527" i="9"/>
  <c r="E511" i="9"/>
  <c r="E495" i="9"/>
  <c r="E479" i="9"/>
  <c r="E463" i="9"/>
  <c r="E447" i="9"/>
  <c r="E431" i="9"/>
  <c r="E415" i="9"/>
  <c r="E399" i="9"/>
  <c r="E383" i="9"/>
  <c r="E367" i="9"/>
  <c r="E351" i="9"/>
  <c r="E335" i="9"/>
  <c r="E319" i="9"/>
  <c r="E303" i="9"/>
  <c r="E255" i="9"/>
  <c r="E239" i="9"/>
  <c r="E223" i="9"/>
  <c r="E207" i="9"/>
  <c r="E191" i="9"/>
  <c r="E175" i="9"/>
  <c r="E159" i="9"/>
  <c r="AI4" i="1"/>
  <c r="E31" i="9"/>
  <c r="E143" i="9"/>
  <c r="E127" i="9"/>
  <c r="E111" i="9"/>
  <c r="E95" i="9"/>
  <c r="E79" i="9"/>
  <c r="E63" i="9"/>
  <c r="E15" i="9"/>
  <c r="E47" i="9"/>
  <c r="F282" i="1"/>
  <c r="S282" i="1"/>
  <c r="Z183" i="1"/>
  <c r="Z210" i="1"/>
  <c r="Z205" i="1"/>
  <c r="AA183" i="1"/>
  <c r="AA210" i="1"/>
  <c r="AA205" i="1"/>
  <c r="AI210" i="1"/>
  <c r="AI205" i="1"/>
  <c r="AF183" i="1"/>
  <c r="AF210" i="1"/>
  <c r="AF205" i="1"/>
  <c r="AJ210" i="1"/>
  <c r="AJ205" i="1"/>
  <c r="AD183" i="1"/>
  <c r="AD210" i="1"/>
  <c r="AD205" i="1"/>
  <c r="AH210" i="1"/>
  <c r="AH205" i="1"/>
  <c r="AE183" i="1"/>
  <c r="AE210" i="1"/>
  <c r="AE205" i="1"/>
  <c r="X183" i="1"/>
  <c r="X210" i="1"/>
  <c r="X205" i="1"/>
  <c r="AB183" i="1"/>
  <c r="AB210" i="1"/>
  <c r="AB205" i="1"/>
  <c r="Y183" i="1"/>
  <c r="Y210" i="1"/>
  <c r="Y205" i="1"/>
  <c r="AC183" i="1"/>
  <c r="AC210" i="1"/>
  <c r="AC205" i="1"/>
  <c r="AG210" i="1"/>
  <c r="AG205" i="1"/>
  <c r="AK210" i="1"/>
  <c r="AK205" i="1"/>
  <c r="AJ183" i="1"/>
  <c r="AJ172" i="1"/>
  <c r="AK183" i="1"/>
  <c r="AK172" i="1"/>
  <c r="AH183" i="1"/>
  <c r="AH172" i="1"/>
  <c r="AG183" i="1"/>
  <c r="AG172" i="1"/>
  <c r="AI183" i="1"/>
  <c r="AI172" i="1"/>
  <c r="L17" i="8"/>
  <c r="K17" i="8"/>
  <c r="F20" i="8"/>
  <c r="J20" i="8"/>
  <c r="H20" i="8"/>
  <c r="E20" i="8"/>
  <c r="C20" i="8"/>
  <c r="G20" i="8"/>
  <c r="K20" i="8"/>
  <c r="D20" i="8"/>
  <c r="L20" i="8"/>
  <c r="I20" i="8"/>
  <c r="C21" i="8"/>
  <c r="G21" i="8"/>
  <c r="K21" i="8"/>
  <c r="I21" i="8"/>
  <c r="F21" i="8"/>
  <c r="D21" i="8"/>
  <c r="H21" i="8"/>
  <c r="L21" i="8"/>
  <c r="E21" i="8"/>
  <c r="J21" i="8"/>
  <c r="D22" i="8"/>
  <c r="H22" i="8"/>
  <c r="L22" i="8"/>
  <c r="J22" i="8"/>
  <c r="G22" i="8"/>
  <c r="E22" i="8"/>
  <c r="I22" i="8"/>
  <c r="F22" i="8"/>
  <c r="C22" i="8"/>
  <c r="K22" i="8"/>
  <c r="D18" i="8"/>
  <c r="H18" i="8"/>
  <c r="L18" i="8"/>
  <c r="E18" i="8"/>
  <c r="I18" i="8"/>
  <c r="F18" i="8"/>
  <c r="J18" i="8"/>
  <c r="C18" i="8"/>
  <c r="G18" i="8"/>
  <c r="K18" i="8"/>
  <c r="D17" i="8"/>
  <c r="H17" i="8"/>
  <c r="AF59" i="1"/>
  <c r="I17" i="8"/>
  <c r="J17" i="8"/>
  <c r="C17" i="8"/>
  <c r="E17" i="8"/>
  <c r="AE59" i="1"/>
  <c r="F17" i="8"/>
  <c r="G17" i="8"/>
  <c r="AU25" i="1"/>
  <c r="AT25" i="1"/>
  <c r="S516" i="1"/>
  <c r="AS25" i="1"/>
  <c r="Z187" i="1"/>
  <c r="Z407" i="1"/>
  <c r="AA187" i="1"/>
  <c r="AA407" i="1"/>
  <c r="X187" i="1"/>
  <c r="X407" i="1"/>
  <c r="W187" i="1"/>
  <c r="W407" i="1"/>
  <c r="Y187" i="1"/>
  <c r="Y407" i="1"/>
  <c r="AE187" i="1"/>
  <c r="AE407" i="1"/>
  <c r="AB187" i="1"/>
  <c r="AB407" i="1"/>
  <c r="AC187" i="1"/>
  <c r="AC407" i="1"/>
  <c r="S139" i="1"/>
  <c r="S108" i="1"/>
  <c r="S143" i="1"/>
  <c r="S104" i="1"/>
  <c r="S273" i="1"/>
  <c r="S376" i="1"/>
  <c r="AD187" i="1"/>
  <c r="AD407" i="1"/>
  <c r="AF187" i="1"/>
  <c r="AF407" i="1"/>
  <c r="S238" i="1"/>
  <c r="S135" i="1"/>
  <c r="S244" i="1"/>
  <c r="S265" i="1"/>
  <c r="S249" i="1"/>
  <c r="Y520" i="1"/>
  <c r="Y249" i="1"/>
  <c r="AA520" i="1"/>
  <c r="AA249" i="1"/>
  <c r="W520" i="1"/>
  <c r="W249" i="1"/>
  <c r="AB520" i="1"/>
  <c r="AB249" i="1"/>
  <c r="AE520" i="1"/>
  <c r="AE249" i="1"/>
  <c r="Z520" i="1"/>
  <c r="Z249" i="1"/>
  <c r="AD520" i="1"/>
  <c r="AD249" i="1"/>
  <c r="X520" i="1"/>
  <c r="X249" i="1"/>
  <c r="AF520" i="1"/>
  <c r="AF249" i="1"/>
  <c r="AC520" i="1"/>
  <c r="AC249" i="1"/>
  <c r="S507" i="1"/>
  <c r="S412" i="1"/>
  <c r="S501" i="1"/>
  <c r="S433" i="1"/>
  <c r="Y514" i="1"/>
  <c r="Y516" i="1"/>
  <c r="W514" i="1"/>
  <c r="W516" i="1"/>
  <c r="AE514" i="1"/>
  <c r="AE516" i="1"/>
  <c r="Z514" i="1"/>
  <c r="Z516" i="1"/>
  <c r="AD514" i="1"/>
  <c r="AD516" i="1"/>
  <c r="X514" i="1"/>
  <c r="X516" i="1"/>
  <c r="AF514" i="1"/>
  <c r="AF516" i="1"/>
  <c r="AA514" i="1"/>
  <c r="AA516" i="1"/>
  <c r="AB514" i="1"/>
  <c r="AB516" i="1"/>
  <c r="AC514" i="1"/>
  <c r="AC516" i="1"/>
  <c r="Z505" i="1"/>
  <c r="Z511" i="1"/>
  <c r="Y505" i="1"/>
  <c r="Y511" i="1"/>
  <c r="AA505" i="1"/>
  <c r="AA511" i="1"/>
  <c r="W505" i="1"/>
  <c r="W511" i="1"/>
  <c r="AB505" i="1"/>
  <c r="AB511" i="1"/>
  <c r="AE505" i="1"/>
  <c r="AE511" i="1"/>
  <c r="AD505" i="1"/>
  <c r="AD511" i="1"/>
  <c r="X505" i="1"/>
  <c r="X511" i="1"/>
  <c r="AF505" i="1"/>
  <c r="AF511" i="1"/>
  <c r="AC505" i="1"/>
  <c r="AC511" i="1"/>
  <c r="S356" i="1"/>
  <c r="S366" i="1"/>
  <c r="AA198" i="1"/>
  <c r="AA330" i="1"/>
  <c r="AB198" i="1"/>
  <c r="AB330" i="1"/>
  <c r="AD198" i="1"/>
  <c r="AD330" i="1"/>
  <c r="AC198" i="1"/>
  <c r="AC330" i="1"/>
  <c r="AE198" i="1"/>
  <c r="AE330" i="1"/>
  <c r="W198" i="1"/>
  <c r="W330" i="1"/>
  <c r="Z198" i="1"/>
  <c r="Z330" i="1"/>
  <c r="X198" i="1"/>
  <c r="X330" i="1"/>
  <c r="Y198" i="1"/>
  <c r="Y330" i="1"/>
  <c r="AF198" i="1"/>
  <c r="AF330" i="1"/>
  <c r="S125" i="1"/>
  <c r="S205" i="1"/>
  <c r="Y66" i="1"/>
  <c r="Y217" i="1"/>
  <c r="Z66" i="1"/>
  <c r="Z217" i="1"/>
  <c r="W66" i="1"/>
  <c r="W217" i="1"/>
  <c r="AF66" i="1"/>
  <c r="AF217" i="1"/>
  <c r="AC66" i="1"/>
  <c r="AC217" i="1"/>
  <c r="AB66" i="1"/>
  <c r="AB217" i="1"/>
  <c r="AE66" i="1"/>
  <c r="AE217" i="1"/>
  <c r="AD66" i="1"/>
  <c r="AD217" i="1"/>
  <c r="X66" i="1"/>
  <c r="X217" i="1"/>
  <c r="AA66" i="1"/>
  <c r="AA217" i="1"/>
  <c r="S330" i="1"/>
  <c r="S177" i="1"/>
  <c r="S172" i="1"/>
  <c r="S149" i="1"/>
  <c r="S160" i="1"/>
  <c r="S115" i="1"/>
  <c r="S80" i="1"/>
  <c r="S166" i="1"/>
  <c r="S120" i="1"/>
  <c r="AA59" i="1"/>
  <c r="AA177" i="1"/>
  <c r="AA172" i="1"/>
  <c r="AA131" i="1"/>
  <c r="AA125" i="1"/>
  <c r="AA112" i="1"/>
  <c r="W59" i="1"/>
  <c r="W177" i="1"/>
  <c r="W172" i="1"/>
  <c r="W131" i="1"/>
  <c r="W125" i="1"/>
  <c r="W112" i="1"/>
  <c r="AB59" i="1"/>
  <c r="AB177" i="1"/>
  <c r="AB172" i="1"/>
  <c r="AB131" i="1"/>
  <c r="AB125" i="1"/>
  <c r="AB112" i="1"/>
  <c r="Z59" i="1"/>
  <c r="Z177" i="1"/>
  <c r="Z172" i="1"/>
  <c r="Z131" i="1"/>
  <c r="Z125" i="1"/>
  <c r="Z112" i="1"/>
  <c r="AD59" i="1"/>
  <c r="AD177" i="1"/>
  <c r="AD172" i="1"/>
  <c r="AD131" i="1"/>
  <c r="AD125" i="1"/>
  <c r="AD112" i="1"/>
  <c r="X59" i="1"/>
  <c r="X177" i="1"/>
  <c r="X172" i="1"/>
  <c r="X131" i="1"/>
  <c r="X125" i="1"/>
  <c r="X112" i="1"/>
  <c r="AC59" i="1"/>
  <c r="AC177" i="1"/>
  <c r="AC172" i="1"/>
  <c r="AC131" i="1"/>
  <c r="AC125" i="1"/>
  <c r="AC112" i="1"/>
  <c r="AE177" i="1"/>
  <c r="AE172" i="1"/>
  <c r="AE131" i="1"/>
  <c r="AE125" i="1"/>
  <c r="AE112" i="1"/>
  <c r="Y59" i="1"/>
  <c r="Y177" i="1"/>
  <c r="Y172" i="1"/>
  <c r="Y131" i="1"/>
  <c r="Y125" i="1"/>
  <c r="Y112" i="1"/>
  <c r="AF177" i="1"/>
  <c r="AF172" i="1"/>
  <c r="AF131" i="1"/>
  <c r="AF125" i="1"/>
  <c r="AF112" i="1"/>
  <c r="S323" i="1"/>
  <c r="S52" i="1"/>
  <c r="AP3" i="1"/>
  <c r="AP192" i="1"/>
  <c r="AP108" i="1"/>
  <c r="AP249" i="1"/>
  <c r="AP273" i="1"/>
  <c r="AP269" i="1"/>
  <c r="AP282" i="1"/>
  <c r="AP284" i="1"/>
  <c r="AP262" i="1"/>
  <c r="AP265" i="1"/>
  <c r="AP520" i="1"/>
  <c r="AP514" i="1"/>
  <c r="AP516" i="1"/>
  <c r="G2" i="5"/>
  <c r="F2" i="5"/>
  <c r="G16" i="5"/>
  <c r="AP511" i="1"/>
  <c r="AP507" i="1"/>
  <c r="AP483" i="1"/>
  <c r="AP433" i="1"/>
  <c r="AP403" i="1"/>
  <c r="AP397" i="1"/>
  <c r="AP385" i="1"/>
  <c r="F2" i="9"/>
  <c r="Q2" i="9"/>
  <c r="AP501" i="1"/>
  <c r="AP472" i="1"/>
  <c r="AP407" i="1"/>
  <c r="AP505" i="1"/>
  <c r="AP468" i="1"/>
  <c r="AP417" i="1"/>
  <c r="AP393" i="1"/>
  <c r="AP372" i="1"/>
  <c r="AP362" i="1"/>
  <c r="AP242" i="1"/>
  <c r="AP476" i="1"/>
  <c r="AP444" i="1"/>
  <c r="AP409" i="1"/>
  <c r="AP399" i="1"/>
  <c r="AP340" i="1"/>
  <c r="AP337" i="1"/>
  <c r="AP381" i="1"/>
  <c r="AP244" i="1"/>
  <c r="AP160" i="1"/>
  <c r="AP149" i="1"/>
  <c r="AP139" i="1"/>
  <c r="AP131" i="1"/>
  <c r="AP104" i="1"/>
  <c r="AP88" i="1"/>
  <c r="AP493" i="1"/>
  <c r="AP389" i="1"/>
  <c r="AP198" i="1"/>
  <c r="AP412" i="1"/>
  <c r="AP120" i="1"/>
  <c r="AP115" i="1"/>
  <c r="AP112" i="1"/>
  <c r="AP52" i="1"/>
  <c r="AP496" i="1"/>
  <c r="AP376" i="1"/>
  <c r="AP370" i="1"/>
  <c r="AP366" i="1"/>
  <c r="AP360" i="1"/>
  <c r="AP356" i="1"/>
  <c r="AP344" i="1"/>
  <c r="AP210" i="1"/>
  <c r="AP187" i="1"/>
  <c r="AP172" i="1"/>
  <c r="AP143" i="1"/>
  <c r="AP80" i="1"/>
  <c r="AP66" i="1"/>
  <c r="AP59" i="1"/>
  <c r="AP205" i="1"/>
  <c r="AP183" i="1"/>
  <c r="AP166" i="1"/>
  <c r="AP155" i="1"/>
  <c r="AP95" i="1"/>
  <c r="AP70" i="1"/>
  <c r="AP217" i="1"/>
  <c r="AP125" i="1"/>
  <c r="AP330" i="1"/>
  <c r="AP238" i="1"/>
  <c r="AP177" i="1"/>
  <c r="AP323" i="1"/>
  <c r="AP223" i="1"/>
  <c r="AP135" i="1"/>
  <c r="AP4" i="1"/>
  <c r="AQ3" i="1"/>
  <c r="AQ192" i="1"/>
  <c r="AQ108" i="1"/>
  <c r="AQ249" i="1"/>
  <c r="AQ269" i="1"/>
  <c r="AQ273" i="1"/>
  <c r="AQ282" i="1"/>
  <c r="AQ284" i="1"/>
  <c r="AQ262" i="1"/>
  <c r="AQ265" i="1"/>
  <c r="AQ520" i="1"/>
  <c r="AQ514" i="1"/>
  <c r="AQ516" i="1"/>
  <c r="H2" i="5"/>
  <c r="H18" i="5"/>
  <c r="AQ511" i="1"/>
  <c r="G30" i="5"/>
  <c r="G23" i="5"/>
  <c r="G37" i="5"/>
  <c r="G36" i="5"/>
  <c r="G22" i="5"/>
  <c r="G20" i="5"/>
  <c r="G35" i="5"/>
  <c r="G24" i="5"/>
  <c r="G17" i="5"/>
  <c r="G32" i="5"/>
  <c r="G34" i="5"/>
  <c r="G28" i="5"/>
  <c r="G31" i="5"/>
  <c r="G14" i="5"/>
  <c r="G33" i="5"/>
  <c r="G21" i="5"/>
  <c r="G38" i="5"/>
  <c r="G19" i="5"/>
  <c r="G18" i="5"/>
  <c r="G2" i="9"/>
  <c r="R2" i="9"/>
  <c r="AQ501" i="1"/>
  <c r="AQ472" i="1"/>
  <c r="AQ407" i="1"/>
  <c r="AQ389" i="1"/>
  <c r="AQ493" i="1"/>
  <c r="AQ476" i="1"/>
  <c r="AQ444" i="1"/>
  <c r="AQ409" i="1"/>
  <c r="AQ399" i="1"/>
  <c r="AQ483" i="1"/>
  <c r="AQ403" i="1"/>
  <c r="AQ376" i="1"/>
  <c r="AQ366" i="1"/>
  <c r="AQ356" i="1"/>
  <c r="AQ340" i="1"/>
  <c r="AQ330" i="1"/>
  <c r="AQ244" i="1"/>
  <c r="AQ496" i="1"/>
  <c r="AQ468" i="1"/>
  <c r="AQ433" i="1"/>
  <c r="AQ417" i="1"/>
  <c r="AQ397" i="1"/>
  <c r="AQ393" i="1"/>
  <c r="AQ370" i="1"/>
  <c r="AQ360" i="1"/>
  <c r="AQ344" i="1"/>
  <c r="AQ210" i="1"/>
  <c r="AQ198" i="1"/>
  <c r="AQ187" i="1"/>
  <c r="AQ412" i="1"/>
  <c r="AQ172" i="1"/>
  <c r="AQ323" i="1"/>
  <c r="AQ242" i="1"/>
  <c r="AQ238" i="1"/>
  <c r="AQ223" i="1"/>
  <c r="AQ217" i="1"/>
  <c r="AQ205" i="1"/>
  <c r="AQ183" i="1"/>
  <c r="AQ177" i="1"/>
  <c r="AQ166" i="1"/>
  <c r="AQ120" i="1"/>
  <c r="AQ507" i="1"/>
  <c r="AQ135" i="1"/>
  <c r="AQ131" i="1"/>
  <c r="AQ125" i="1"/>
  <c r="AQ505" i="1"/>
  <c r="AQ381" i="1"/>
  <c r="AQ372" i="1"/>
  <c r="AQ362" i="1"/>
  <c r="AQ155" i="1"/>
  <c r="AQ149" i="1"/>
  <c r="AQ95" i="1"/>
  <c r="AQ88" i="1"/>
  <c r="AQ70" i="1"/>
  <c r="AQ66" i="1"/>
  <c r="AQ385" i="1"/>
  <c r="AQ160" i="1"/>
  <c r="AQ115" i="1"/>
  <c r="AQ112" i="1"/>
  <c r="AQ104" i="1"/>
  <c r="AQ52" i="1"/>
  <c r="AQ143" i="1"/>
  <c r="AQ337" i="1"/>
  <c r="AQ139" i="1"/>
  <c r="AQ80" i="1"/>
  <c r="AQ59" i="1"/>
  <c r="AQ4" i="1"/>
  <c r="AR3" i="1"/>
  <c r="AR192" i="1"/>
  <c r="AR108" i="1"/>
  <c r="G60" i="5"/>
  <c r="AR249" i="1"/>
  <c r="AR269" i="1"/>
  <c r="AR273" i="1"/>
  <c r="AR282" i="1"/>
  <c r="AR284" i="1"/>
  <c r="AR262" i="1"/>
  <c r="AR265" i="1"/>
  <c r="AR520" i="1"/>
  <c r="H19" i="5"/>
  <c r="H20" i="5"/>
  <c r="H17" i="5"/>
  <c r="H24" i="5"/>
  <c r="H32" i="5"/>
  <c r="H31" i="5"/>
  <c r="H35" i="5"/>
  <c r="H23" i="5"/>
  <c r="H37" i="5"/>
  <c r="H36" i="5"/>
  <c r="H30" i="5"/>
  <c r="AR514" i="1"/>
  <c r="AR516" i="1"/>
  <c r="H38" i="5"/>
  <c r="H22" i="5"/>
  <c r="H21" i="5"/>
  <c r="H28" i="5"/>
  <c r="H67" i="5"/>
  <c r="G46" i="5"/>
  <c r="H34" i="5"/>
  <c r="H14" i="5"/>
  <c r="H50" i="5"/>
  <c r="H16" i="5"/>
  <c r="H33" i="5"/>
  <c r="I2" i="5"/>
  <c r="I17" i="5"/>
  <c r="AR511" i="1"/>
  <c r="G49" i="5"/>
  <c r="G56" i="5"/>
  <c r="G65" i="5"/>
  <c r="G64" i="5"/>
  <c r="G71" i="5"/>
  <c r="G50" i="5"/>
  <c r="G57" i="5"/>
  <c r="G61" i="5"/>
  <c r="G66" i="5"/>
  <c r="G67" i="5"/>
  <c r="G74" i="5"/>
  <c r="G47" i="5"/>
  <c r="G54" i="5"/>
  <c r="G68" i="5"/>
  <c r="G62" i="5"/>
  <c r="G45" i="5"/>
  <c r="G63" i="5"/>
  <c r="G44" i="5"/>
  <c r="G78" i="5"/>
  <c r="G43" i="5"/>
  <c r="G51" i="5"/>
  <c r="G48" i="5"/>
  <c r="AR493" i="1"/>
  <c r="AR476" i="1"/>
  <c r="AR444" i="1"/>
  <c r="AR409" i="1"/>
  <c r="AR399" i="1"/>
  <c r="H2" i="9"/>
  <c r="S2" i="9"/>
  <c r="AR505" i="1"/>
  <c r="AR496" i="1"/>
  <c r="AR468" i="1"/>
  <c r="AR417" i="1"/>
  <c r="AR393" i="1"/>
  <c r="AR501" i="1"/>
  <c r="AR370" i="1"/>
  <c r="AR360" i="1"/>
  <c r="AR223" i="1"/>
  <c r="AR507" i="1"/>
  <c r="AR483" i="1"/>
  <c r="AR472" i="1"/>
  <c r="AR407" i="1"/>
  <c r="AR403" i="1"/>
  <c r="AR389" i="1"/>
  <c r="AR381" i="1"/>
  <c r="AR376" i="1"/>
  <c r="AR372" i="1"/>
  <c r="AR366" i="1"/>
  <c r="AR362" i="1"/>
  <c r="AR356" i="1"/>
  <c r="AR385" i="1"/>
  <c r="AR337" i="1"/>
  <c r="AR330" i="1"/>
  <c r="AR155" i="1"/>
  <c r="AR143" i="1"/>
  <c r="AR135" i="1"/>
  <c r="AR112" i="1"/>
  <c r="AR95" i="1"/>
  <c r="AR80" i="1"/>
  <c r="AR70" i="1"/>
  <c r="AR323" i="1"/>
  <c r="AR244" i="1"/>
  <c r="AR242" i="1"/>
  <c r="AR238" i="1"/>
  <c r="AR217" i="1"/>
  <c r="AR177" i="1"/>
  <c r="AR139" i="1"/>
  <c r="AR52" i="1"/>
  <c r="AR205" i="1"/>
  <c r="AR183" i="1"/>
  <c r="AR166" i="1"/>
  <c r="AR160" i="1"/>
  <c r="AR115" i="1"/>
  <c r="AR104" i="1"/>
  <c r="AR59" i="1"/>
  <c r="AR433" i="1"/>
  <c r="AR397" i="1"/>
  <c r="AR198" i="1"/>
  <c r="AR412" i="1"/>
  <c r="AR131" i="1"/>
  <c r="AR125" i="1"/>
  <c r="AR120" i="1"/>
  <c r="AR66" i="1"/>
  <c r="AR210" i="1"/>
  <c r="AR187" i="1"/>
  <c r="AR149" i="1"/>
  <c r="AR344" i="1"/>
  <c r="AR172" i="1"/>
  <c r="AR88" i="1"/>
  <c r="AR340" i="1"/>
  <c r="AS3" i="1"/>
  <c r="AS192" i="1"/>
  <c r="AR4" i="1"/>
  <c r="AS108" i="1"/>
  <c r="G124" i="5"/>
  <c r="G111" i="5"/>
  <c r="AS249" i="1"/>
  <c r="AS269" i="1"/>
  <c r="AS273" i="1"/>
  <c r="AS282" i="1"/>
  <c r="AS284" i="1"/>
  <c r="I38" i="5"/>
  <c r="H62" i="5"/>
  <c r="H64" i="5"/>
  <c r="H71" i="5"/>
  <c r="AS262" i="1"/>
  <c r="AS265" i="1"/>
  <c r="I18" i="5"/>
  <c r="H63" i="5"/>
  <c r="I23" i="5"/>
  <c r="I34" i="5"/>
  <c r="I33" i="5"/>
  <c r="I14" i="5"/>
  <c r="I44" i="5"/>
  <c r="H60" i="5"/>
  <c r="I24" i="5"/>
  <c r="I28" i="5"/>
  <c r="H61" i="5"/>
  <c r="H47" i="5"/>
  <c r="AS520" i="1"/>
  <c r="H45" i="5"/>
  <c r="H79" i="5"/>
  <c r="H48" i="5"/>
  <c r="H55" i="5"/>
  <c r="H49" i="5"/>
  <c r="H46" i="5"/>
  <c r="I37" i="5"/>
  <c r="I32" i="5"/>
  <c r="I35" i="5"/>
  <c r="I22" i="5"/>
  <c r="H44" i="5"/>
  <c r="H51" i="5"/>
  <c r="I19" i="5"/>
  <c r="I16" i="5"/>
  <c r="I21" i="5"/>
  <c r="H43" i="5"/>
  <c r="G80" i="5"/>
  <c r="H66" i="5"/>
  <c r="H73" i="5"/>
  <c r="H65" i="5"/>
  <c r="H72" i="5"/>
  <c r="I31" i="5"/>
  <c r="I36" i="5"/>
  <c r="I20" i="5"/>
  <c r="I30" i="5"/>
  <c r="AS514" i="1"/>
  <c r="AS516" i="1"/>
  <c r="H68" i="5"/>
  <c r="J2" i="5"/>
  <c r="J21" i="5"/>
  <c r="AS511" i="1"/>
  <c r="H56" i="5"/>
  <c r="G83" i="5"/>
  <c r="G72" i="5"/>
  <c r="H57" i="5"/>
  <c r="G55" i="5"/>
  <c r="G91" i="5"/>
  <c r="G130" i="5"/>
  <c r="G81" i="5"/>
  <c r="G77" i="5"/>
  <c r="G73" i="5"/>
  <c r="G90" i="5"/>
  <c r="G129" i="5"/>
  <c r="G85" i="5"/>
  <c r="G84" i="5"/>
  <c r="G79" i="5"/>
  <c r="H74" i="5"/>
  <c r="G82" i="5"/>
  <c r="G88" i="5"/>
  <c r="H84" i="5"/>
  <c r="AS505" i="1"/>
  <c r="AS496" i="1"/>
  <c r="AS468" i="1"/>
  <c r="AS417" i="1"/>
  <c r="AS393" i="1"/>
  <c r="AS507" i="1"/>
  <c r="AS483" i="1"/>
  <c r="AS433" i="1"/>
  <c r="AS403" i="1"/>
  <c r="AS397" i="1"/>
  <c r="AS476" i="1"/>
  <c r="AS444" i="1"/>
  <c r="AS409" i="1"/>
  <c r="AS399" i="1"/>
  <c r="AS389" i="1"/>
  <c r="AS385" i="1"/>
  <c r="AS381" i="1"/>
  <c r="AS344" i="1"/>
  <c r="AS337" i="1"/>
  <c r="AS323" i="1"/>
  <c r="AS238" i="1"/>
  <c r="AS501" i="1"/>
  <c r="AS493" i="1"/>
  <c r="AS244" i="1"/>
  <c r="AS242" i="1"/>
  <c r="AS217" i="1"/>
  <c r="AS205" i="1"/>
  <c r="AS183" i="1"/>
  <c r="AS177" i="1"/>
  <c r="AS166" i="1"/>
  <c r="I2" i="9"/>
  <c r="T2" i="9"/>
  <c r="AS340" i="1"/>
  <c r="AS210" i="1"/>
  <c r="AS198" i="1"/>
  <c r="AS187" i="1"/>
  <c r="AS412" i="1"/>
  <c r="AS172" i="1"/>
  <c r="AS125" i="1"/>
  <c r="AS115" i="1"/>
  <c r="AS330" i="1"/>
  <c r="AS223" i="1"/>
  <c r="AS149" i="1"/>
  <c r="AS143" i="1"/>
  <c r="AS88" i="1"/>
  <c r="AS80" i="1"/>
  <c r="AS66" i="1"/>
  <c r="AS131" i="1"/>
  <c r="AS120" i="1"/>
  <c r="AS112" i="1"/>
  <c r="AS139" i="1"/>
  <c r="AS135" i="1"/>
  <c r="AS59" i="1"/>
  <c r="AS52" i="1"/>
  <c r="AS472" i="1"/>
  <c r="AS407" i="1"/>
  <c r="AS155" i="1"/>
  <c r="AS372" i="1"/>
  <c r="AS95" i="1"/>
  <c r="AS370" i="1"/>
  <c r="AS356" i="1"/>
  <c r="AS160" i="1"/>
  <c r="AS366" i="1"/>
  <c r="AS104" i="1"/>
  <c r="AS376" i="1"/>
  <c r="AS362" i="1"/>
  <c r="AS70" i="1"/>
  <c r="AS360" i="1"/>
  <c r="AS4" i="1"/>
  <c r="AT3" i="1"/>
  <c r="AT192" i="1"/>
  <c r="AT108" i="1"/>
  <c r="G103" i="5"/>
  <c r="G104" i="5"/>
  <c r="G116" i="5"/>
  <c r="G113" i="5"/>
  <c r="G101" i="5"/>
  <c r="G126" i="5"/>
  <c r="H117" i="5"/>
  <c r="G125" i="5"/>
  <c r="G112" i="5"/>
  <c r="G100" i="5"/>
  <c r="G123" i="5"/>
  <c r="G98" i="5"/>
  <c r="G110" i="5"/>
  <c r="G118" i="5"/>
  <c r="G131" i="5"/>
  <c r="G106" i="5"/>
  <c r="G114" i="5"/>
  <c r="G127" i="5"/>
  <c r="G105" i="5"/>
  <c r="G117" i="5"/>
  <c r="G102" i="5"/>
  <c r="H112" i="5"/>
  <c r="H125" i="5"/>
  <c r="G99" i="5"/>
  <c r="G95" i="5"/>
  <c r="AT249" i="1"/>
  <c r="AT273" i="1"/>
  <c r="AT269" i="1"/>
  <c r="AT282" i="1"/>
  <c r="AT284" i="1"/>
  <c r="J28" i="5"/>
  <c r="H78" i="5"/>
  <c r="H80" i="5"/>
  <c r="I51" i="5"/>
  <c r="H82" i="5"/>
  <c r="H81" i="5"/>
  <c r="H54" i="5"/>
  <c r="H88" i="5"/>
  <c r="H77" i="5"/>
  <c r="AT262" i="1"/>
  <c r="AT265" i="1"/>
  <c r="I64" i="5"/>
  <c r="I71" i="5"/>
  <c r="I50" i="5"/>
  <c r="I57" i="5"/>
  <c r="H85" i="5"/>
  <c r="I47" i="5"/>
  <c r="I54" i="5"/>
  <c r="I49" i="5"/>
  <c r="I56" i="5"/>
  <c r="I43" i="5"/>
  <c r="I48" i="5"/>
  <c r="I55" i="5"/>
  <c r="I66" i="5"/>
  <c r="I73" i="5"/>
  <c r="I45" i="5"/>
  <c r="I46" i="5"/>
  <c r="I65" i="5"/>
  <c r="I72" i="5"/>
  <c r="G89" i="5"/>
  <c r="H83" i="5"/>
  <c r="AT520" i="1"/>
  <c r="I68" i="5"/>
  <c r="J31" i="5"/>
  <c r="I61" i="5"/>
  <c r="I78" i="5"/>
  <c r="I63" i="5"/>
  <c r="I60" i="5"/>
  <c r="I67" i="5"/>
  <c r="I74" i="5"/>
  <c r="I62" i="5"/>
  <c r="J19" i="5"/>
  <c r="J36" i="5"/>
  <c r="J34" i="5"/>
  <c r="J38" i="5"/>
  <c r="J16" i="5"/>
  <c r="J32" i="5"/>
  <c r="J14" i="5"/>
  <c r="J48" i="5"/>
  <c r="J33" i="5"/>
  <c r="J23" i="5"/>
  <c r="J17" i="5"/>
  <c r="J30" i="5"/>
  <c r="J18" i="5"/>
  <c r="J20" i="5"/>
  <c r="AT514" i="1"/>
  <c r="AT516" i="1"/>
  <c r="J22" i="5"/>
  <c r="J37" i="5"/>
  <c r="J35" i="5"/>
  <c r="J24" i="5"/>
  <c r="J51" i="5"/>
  <c r="H90" i="5"/>
  <c r="H129" i="5"/>
  <c r="K2" i="5"/>
  <c r="K20" i="5"/>
  <c r="AT511" i="1"/>
  <c r="H91" i="5"/>
  <c r="H130" i="5"/>
  <c r="H89" i="5"/>
  <c r="AT507" i="1"/>
  <c r="AT483" i="1"/>
  <c r="AT433" i="1"/>
  <c r="AT403" i="1"/>
  <c r="AT397" i="1"/>
  <c r="AT385" i="1"/>
  <c r="AT501" i="1"/>
  <c r="AT472" i="1"/>
  <c r="AT407" i="1"/>
  <c r="AT496" i="1"/>
  <c r="AT372" i="1"/>
  <c r="AT362" i="1"/>
  <c r="AT242" i="1"/>
  <c r="AT217" i="1"/>
  <c r="AT505" i="1"/>
  <c r="AT330" i="1"/>
  <c r="AT323" i="1"/>
  <c r="AT238" i="1"/>
  <c r="AT223" i="1"/>
  <c r="AT376" i="1"/>
  <c r="AT370" i="1"/>
  <c r="AT366" i="1"/>
  <c r="AT360" i="1"/>
  <c r="AT356" i="1"/>
  <c r="AT344" i="1"/>
  <c r="AT160" i="1"/>
  <c r="AT149" i="1"/>
  <c r="AT139" i="1"/>
  <c r="AT131" i="1"/>
  <c r="AT104" i="1"/>
  <c r="AT88" i="1"/>
  <c r="AT340" i="1"/>
  <c r="AT337" i="1"/>
  <c r="AT210" i="1"/>
  <c r="AT187" i="1"/>
  <c r="AT172" i="1"/>
  <c r="AT155" i="1"/>
  <c r="AT95" i="1"/>
  <c r="AT70" i="1"/>
  <c r="AT66" i="1"/>
  <c r="AT59" i="1"/>
  <c r="AT417" i="1"/>
  <c r="AT399" i="1"/>
  <c r="AT198" i="1"/>
  <c r="AT412" i="1"/>
  <c r="AT135" i="1"/>
  <c r="AT125" i="1"/>
  <c r="AT493" i="1"/>
  <c r="AT476" i="1"/>
  <c r="AT468" i="1"/>
  <c r="AT409" i="1"/>
  <c r="AT389" i="1"/>
  <c r="AT244" i="1"/>
  <c r="AT177" i="1"/>
  <c r="AT143" i="1"/>
  <c r="AT80" i="1"/>
  <c r="J2" i="9"/>
  <c r="U2" i="9"/>
  <c r="AT444" i="1"/>
  <c r="AT166" i="1"/>
  <c r="AT120" i="1"/>
  <c r="AT112" i="1"/>
  <c r="AT205" i="1"/>
  <c r="AT381" i="1"/>
  <c r="AT183" i="1"/>
  <c r="AT115" i="1"/>
  <c r="AT52" i="1"/>
  <c r="AT393" i="1"/>
  <c r="AU3" i="1"/>
  <c r="AU192" i="1"/>
  <c r="AT4" i="1"/>
  <c r="AU108" i="1"/>
  <c r="H102" i="5"/>
  <c r="H114" i="5"/>
  <c r="H127" i="5"/>
  <c r="G128" i="5"/>
  <c r="G115" i="5"/>
  <c r="G120" i="5"/>
  <c r="H118" i="5"/>
  <c r="H131" i="5"/>
  <c r="H106" i="5"/>
  <c r="H103" i="5"/>
  <c r="H128" i="5"/>
  <c r="H115" i="5"/>
  <c r="H110" i="5"/>
  <c r="H98" i="5"/>
  <c r="H123" i="5"/>
  <c r="H105" i="5"/>
  <c r="H124" i="5"/>
  <c r="H99" i="5"/>
  <c r="H111" i="5"/>
  <c r="I111" i="5"/>
  <c r="I124" i="5"/>
  <c r="H104" i="5"/>
  <c r="H116" i="5"/>
  <c r="H126" i="5"/>
  <c r="H113" i="5"/>
  <c r="H101" i="5"/>
  <c r="H100" i="5"/>
  <c r="H95" i="5"/>
  <c r="I89" i="5"/>
  <c r="K33" i="5"/>
  <c r="J60" i="5"/>
  <c r="J61" i="5"/>
  <c r="J63" i="5"/>
  <c r="J68" i="5"/>
  <c r="J85" i="5"/>
  <c r="AU249" i="1"/>
  <c r="AU269" i="1"/>
  <c r="AU273" i="1"/>
  <c r="I85" i="5"/>
  <c r="K22" i="5"/>
  <c r="J49" i="5"/>
  <c r="J56" i="5"/>
  <c r="K16" i="5"/>
  <c r="K24" i="5"/>
  <c r="I80" i="5"/>
  <c r="K34" i="5"/>
  <c r="K19" i="5"/>
  <c r="K38" i="5"/>
  <c r="K14" i="5"/>
  <c r="K47" i="5"/>
  <c r="I77" i="5"/>
  <c r="J67" i="5"/>
  <c r="J74" i="5"/>
  <c r="K30" i="5"/>
  <c r="K17" i="5"/>
  <c r="K44" i="5"/>
  <c r="J64" i="5"/>
  <c r="J71" i="5"/>
  <c r="J65" i="5"/>
  <c r="J72" i="5"/>
  <c r="J62" i="5"/>
  <c r="J66" i="5"/>
  <c r="J73" i="5"/>
  <c r="AU282" i="1"/>
  <c r="AU284" i="1"/>
  <c r="I90" i="5"/>
  <c r="I129" i="5"/>
  <c r="I84" i="5"/>
  <c r="I91" i="5"/>
  <c r="I130" i="5"/>
  <c r="I83" i="5"/>
  <c r="K21" i="5"/>
  <c r="K32" i="5"/>
  <c r="K28" i="5"/>
  <c r="K37" i="5"/>
  <c r="K35" i="5"/>
  <c r="I82" i="5"/>
  <c r="I79" i="5"/>
  <c r="AU262" i="1"/>
  <c r="AU265" i="1"/>
  <c r="K23" i="5"/>
  <c r="K31" i="5"/>
  <c r="K36" i="5"/>
  <c r="K18" i="5"/>
  <c r="J55" i="5"/>
  <c r="I88" i="5"/>
  <c r="I81" i="5"/>
  <c r="J44" i="5"/>
  <c r="J47" i="5"/>
  <c r="AU520" i="1"/>
  <c r="J45" i="5"/>
  <c r="J50" i="5"/>
  <c r="J57" i="5"/>
  <c r="J43" i="5"/>
  <c r="J46" i="5"/>
  <c r="AU514" i="1"/>
  <c r="AU516" i="1"/>
  <c r="L2" i="5"/>
  <c r="L33" i="5"/>
  <c r="AU511" i="1"/>
  <c r="G133" i="5"/>
  <c r="F578" i="9"/>
  <c r="Q578" i="9"/>
  <c r="K2" i="9"/>
  <c r="V2" i="9"/>
  <c r="AU501" i="1"/>
  <c r="AU472" i="1"/>
  <c r="AU407" i="1"/>
  <c r="AU389" i="1"/>
  <c r="AU493" i="1"/>
  <c r="AU476" i="1"/>
  <c r="AU444" i="1"/>
  <c r="AU409" i="1"/>
  <c r="AU399" i="1"/>
  <c r="AU507" i="1"/>
  <c r="AU433" i="1"/>
  <c r="AU397" i="1"/>
  <c r="AU376" i="1"/>
  <c r="AU366" i="1"/>
  <c r="AU356" i="1"/>
  <c r="AU340" i="1"/>
  <c r="AU330" i="1"/>
  <c r="AU244" i="1"/>
  <c r="AU337" i="1"/>
  <c r="AU210" i="1"/>
  <c r="AU198" i="1"/>
  <c r="AU187" i="1"/>
  <c r="AU412" i="1"/>
  <c r="AU172" i="1"/>
  <c r="AU468" i="1"/>
  <c r="AU417" i="1"/>
  <c r="AU393" i="1"/>
  <c r="AU381" i="1"/>
  <c r="AU372" i="1"/>
  <c r="AU362" i="1"/>
  <c r="AU205" i="1"/>
  <c r="AU183" i="1"/>
  <c r="AU177" i="1"/>
  <c r="AU166" i="1"/>
  <c r="AU120" i="1"/>
  <c r="AU370" i="1"/>
  <c r="AU360" i="1"/>
  <c r="AU344" i="1"/>
  <c r="AU160" i="1"/>
  <c r="AU115" i="1"/>
  <c r="AU112" i="1"/>
  <c r="AU104" i="1"/>
  <c r="AU496" i="1"/>
  <c r="AU385" i="1"/>
  <c r="AU143" i="1"/>
  <c r="AU139" i="1"/>
  <c r="AU80" i="1"/>
  <c r="AU52" i="1"/>
  <c r="AU403" i="1"/>
  <c r="AU323" i="1"/>
  <c r="AU242" i="1"/>
  <c r="AU238" i="1"/>
  <c r="AU223" i="1"/>
  <c r="AU217" i="1"/>
  <c r="AU155" i="1"/>
  <c r="AU149" i="1"/>
  <c r="AU95" i="1"/>
  <c r="AU88" i="1"/>
  <c r="AU70" i="1"/>
  <c r="AU505" i="1"/>
  <c r="AU483" i="1"/>
  <c r="AU131" i="1"/>
  <c r="AU66" i="1"/>
  <c r="AU59" i="1"/>
  <c r="AU135" i="1"/>
  <c r="AU125" i="1"/>
  <c r="AV3" i="1"/>
  <c r="AV192" i="1"/>
  <c r="AU4" i="1"/>
  <c r="AV108" i="1"/>
  <c r="J90" i="5"/>
  <c r="J129" i="5"/>
  <c r="J80" i="5"/>
  <c r="J113" i="5"/>
  <c r="I131" i="5"/>
  <c r="I118" i="5"/>
  <c r="I106" i="5"/>
  <c r="J126" i="5"/>
  <c r="I128" i="5"/>
  <c r="I115" i="5"/>
  <c r="I127" i="5"/>
  <c r="I114" i="5"/>
  <c r="I125" i="5"/>
  <c r="I112" i="5"/>
  <c r="I100" i="5"/>
  <c r="I98" i="5"/>
  <c r="I123" i="5"/>
  <c r="I110" i="5"/>
  <c r="H120" i="5"/>
  <c r="G562" i="9"/>
  <c r="R562" i="9"/>
  <c r="J118" i="5"/>
  <c r="J131" i="5"/>
  <c r="I102" i="5"/>
  <c r="I116" i="5"/>
  <c r="I104" i="5"/>
  <c r="I99" i="5"/>
  <c r="I103" i="5"/>
  <c r="I117" i="5"/>
  <c r="I105" i="5"/>
  <c r="I113" i="5"/>
  <c r="I126" i="5"/>
  <c r="I101" i="5"/>
  <c r="H133" i="5"/>
  <c r="G578" i="9"/>
  <c r="R578" i="9"/>
  <c r="I95" i="5"/>
  <c r="J78" i="5"/>
  <c r="J77" i="5"/>
  <c r="AV249" i="1"/>
  <c r="AV269" i="1"/>
  <c r="AV273" i="1"/>
  <c r="K68" i="5"/>
  <c r="K60" i="5"/>
  <c r="K51" i="5"/>
  <c r="K46" i="5"/>
  <c r="K49" i="5"/>
  <c r="K56" i="5"/>
  <c r="K43" i="5"/>
  <c r="L23" i="5"/>
  <c r="K50" i="5"/>
  <c r="K57" i="5"/>
  <c r="K45" i="5"/>
  <c r="K48" i="5"/>
  <c r="K55" i="5"/>
  <c r="K63" i="5"/>
  <c r="J82" i="5"/>
  <c r="J89" i="5"/>
  <c r="J81" i="5"/>
  <c r="K67" i="5"/>
  <c r="K74" i="5"/>
  <c r="J79" i="5"/>
  <c r="J83" i="5"/>
  <c r="K62" i="5"/>
  <c r="K61" i="5"/>
  <c r="K78" i="5"/>
  <c r="AV282" i="1"/>
  <c r="AV284" i="1"/>
  <c r="K54" i="5"/>
  <c r="L28" i="5"/>
  <c r="L38" i="5"/>
  <c r="F562" i="9"/>
  <c r="Q562" i="9"/>
  <c r="G136" i="5"/>
  <c r="F594" i="9"/>
  <c r="Q594" i="9"/>
  <c r="AV262" i="1"/>
  <c r="AV265" i="1"/>
  <c r="K65" i="5"/>
  <c r="K72" i="5"/>
  <c r="K64" i="5"/>
  <c r="K71" i="5"/>
  <c r="K66" i="5"/>
  <c r="J54" i="5"/>
  <c r="J88" i="5"/>
  <c r="L37" i="5"/>
  <c r="J91" i="5"/>
  <c r="J130" i="5"/>
  <c r="L35" i="5"/>
  <c r="AV520" i="1"/>
  <c r="J84" i="5"/>
  <c r="L34" i="5"/>
  <c r="L36" i="5"/>
  <c r="AV514" i="1"/>
  <c r="AV516" i="1"/>
  <c r="L17" i="5"/>
  <c r="L31" i="5"/>
  <c r="L30" i="5"/>
  <c r="L16" i="5"/>
  <c r="L14" i="5"/>
  <c r="L21" i="5"/>
  <c r="L32" i="5"/>
  <c r="L19" i="5"/>
  <c r="L24" i="5"/>
  <c r="L18" i="5"/>
  <c r="L20" i="5"/>
  <c r="L22" i="5"/>
  <c r="M2" i="5"/>
  <c r="M22" i="5"/>
  <c r="AV511" i="1"/>
  <c r="AV493" i="1"/>
  <c r="AV476" i="1"/>
  <c r="AV444" i="1"/>
  <c r="AV409" i="1"/>
  <c r="AV399" i="1"/>
  <c r="AV381" i="1"/>
  <c r="L2" i="9"/>
  <c r="W2" i="9"/>
  <c r="AV505" i="1"/>
  <c r="AV496" i="1"/>
  <c r="AV468" i="1"/>
  <c r="AV417" i="1"/>
  <c r="AV393" i="1"/>
  <c r="AV472" i="1"/>
  <c r="AV407" i="1"/>
  <c r="AV370" i="1"/>
  <c r="AV360" i="1"/>
  <c r="AV223" i="1"/>
  <c r="AV385" i="1"/>
  <c r="AV344" i="1"/>
  <c r="AV340" i="1"/>
  <c r="AV483" i="1"/>
  <c r="AV433" i="1"/>
  <c r="AV403" i="1"/>
  <c r="AV397" i="1"/>
  <c r="AV389" i="1"/>
  <c r="AV323" i="1"/>
  <c r="AV244" i="1"/>
  <c r="AV242" i="1"/>
  <c r="AV238" i="1"/>
  <c r="AV217" i="1"/>
  <c r="AV155" i="1"/>
  <c r="AV143" i="1"/>
  <c r="AV135" i="1"/>
  <c r="AV112" i="1"/>
  <c r="AV95" i="1"/>
  <c r="AV80" i="1"/>
  <c r="AV70" i="1"/>
  <c r="AV376" i="1"/>
  <c r="AV372" i="1"/>
  <c r="AV366" i="1"/>
  <c r="AV362" i="1"/>
  <c r="AV356" i="1"/>
  <c r="AV205" i="1"/>
  <c r="AV183" i="1"/>
  <c r="AV166" i="1"/>
  <c r="AV131" i="1"/>
  <c r="AV125" i="1"/>
  <c r="AV120" i="1"/>
  <c r="AV177" i="1"/>
  <c r="AV149" i="1"/>
  <c r="AV88" i="1"/>
  <c r="AV66" i="1"/>
  <c r="AV59" i="1"/>
  <c r="AV507" i="1"/>
  <c r="AV501" i="1"/>
  <c r="AV337" i="1"/>
  <c r="AV330" i="1"/>
  <c r="AV210" i="1"/>
  <c r="AV187" i="1"/>
  <c r="AV172" i="1"/>
  <c r="AV160" i="1"/>
  <c r="AV115" i="1"/>
  <c r="AV104" i="1"/>
  <c r="AV52" i="1"/>
  <c r="AV412" i="1"/>
  <c r="AV139" i="1"/>
  <c r="AV198" i="1"/>
  <c r="AW3" i="1"/>
  <c r="AV4" i="1"/>
  <c r="AW108" i="1"/>
  <c r="AW192" i="1"/>
  <c r="L64" i="5"/>
  <c r="L71" i="5"/>
  <c r="K85" i="5"/>
  <c r="K131" i="5"/>
  <c r="J112" i="5"/>
  <c r="J125" i="5"/>
  <c r="J100" i="5"/>
  <c r="J103" i="5"/>
  <c r="J124" i="5"/>
  <c r="J99" i="5"/>
  <c r="J111" i="5"/>
  <c r="K111" i="5"/>
  <c r="K124" i="5"/>
  <c r="I120" i="5"/>
  <c r="I136" i="5"/>
  <c r="H594" i="9"/>
  <c r="S594" i="9"/>
  <c r="J101" i="5"/>
  <c r="J105" i="5"/>
  <c r="J117" i="5"/>
  <c r="J102" i="5"/>
  <c r="J127" i="5"/>
  <c r="J114" i="5"/>
  <c r="J116" i="5"/>
  <c r="J104" i="5"/>
  <c r="J128" i="5"/>
  <c r="J115" i="5"/>
  <c r="J110" i="5"/>
  <c r="J98" i="5"/>
  <c r="J123" i="5"/>
  <c r="J106" i="5"/>
  <c r="J95" i="5"/>
  <c r="K77" i="5"/>
  <c r="I133" i="5"/>
  <c r="H578" i="9"/>
  <c r="S578" i="9"/>
  <c r="K79" i="5"/>
  <c r="AW249" i="1"/>
  <c r="AW269" i="1"/>
  <c r="AW273" i="1"/>
  <c r="K91" i="5"/>
  <c r="K130" i="5"/>
  <c r="K89" i="5"/>
  <c r="K80" i="5"/>
  <c r="K83" i="5"/>
  <c r="L50" i="5"/>
  <c r="L57" i="5"/>
  <c r="K84" i="5"/>
  <c r="K73" i="5"/>
  <c r="K90" i="5"/>
  <c r="K129" i="5"/>
  <c r="K82" i="5"/>
  <c r="AW282" i="1"/>
  <c r="AW284" i="1"/>
  <c r="L65" i="5"/>
  <c r="L72" i="5"/>
  <c r="K88" i="5"/>
  <c r="L63" i="5"/>
  <c r="K81" i="5"/>
  <c r="L67" i="5"/>
  <c r="L74" i="5"/>
  <c r="M37" i="5"/>
  <c r="L62" i="5"/>
  <c r="L60" i="5"/>
  <c r="L68" i="5"/>
  <c r="L61" i="5"/>
  <c r="L66" i="5"/>
  <c r="L73" i="5"/>
  <c r="H136" i="5"/>
  <c r="G594" i="9"/>
  <c r="R594" i="9"/>
  <c r="M16" i="5"/>
  <c r="AW262" i="1"/>
  <c r="AW265" i="1"/>
  <c r="M36" i="5"/>
  <c r="L48" i="5"/>
  <c r="L55" i="5"/>
  <c r="M28" i="5"/>
  <c r="M20" i="5"/>
  <c r="L51" i="5"/>
  <c r="M32" i="5"/>
  <c r="M34" i="5"/>
  <c r="M38" i="5"/>
  <c r="M33" i="5"/>
  <c r="M30" i="5"/>
  <c r="L49" i="5"/>
  <c r="L56" i="5"/>
  <c r="L46" i="5"/>
  <c r="L43" i="5"/>
  <c r="L44" i="5"/>
  <c r="M18" i="5"/>
  <c r="M31" i="5"/>
  <c r="M14" i="5"/>
  <c r="M19" i="5"/>
  <c r="M35" i="5"/>
  <c r="L47" i="5"/>
  <c r="L54" i="5"/>
  <c r="AW520" i="1"/>
  <c r="M23" i="5"/>
  <c r="M17" i="5"/>
  <c r="M24" i="5"/>
  <c r="M21" i="5"/>
  <c r="L45" i="5"/>
  <c r="AW514" i="1"/>
  <c r="AW516" i="1"/>
  <c r="N2" i="5"/>
  <c r="N31" i="5"/>
  <c r="AW511" i="1"/>
  <c r="AW505" i="1"/>
  <c r="AW496" i="1"/>
  <c r="AW468" i="1"/>
  <c r="AW417" i="1"/>
  <c r="AW393" i="1"/>
  <c r="AW507" i="1"/>
  <c r="AW483" i="1"/>
  <c r="AW433" i="1"/>
  <c r="AW403" i="1"/>
  <c r="AW397" i="1"/>
  <c r="AW493" i="1"/>
  <c r="AW344" i="1"/>
  <c r="AW337" i="1"/>
  <c r="AW323" i="1"/>
  <c r="AW238" i="1"/>
  <c r="M2" i="9"/>
  <c r="X2" i="9"/>
  <c r="AW376" i="1"/>
  <c r="AW372" i="1"/>
  <c r="AW370" i="1"/>
  <c r="AW366" i="1"/>
  <c r="AW362" i="1"/>
  <c r="AW360" i="1"/>
  <c r="AW356" i="1"/>
  <c r="AW205" i="1"/>
  <c r="AW183" i="1"/>
  <c r="AW177" i="1"/>
  <c r="AW166" i="1"/>
  <c r="AW501" i="1"/>
  <c r="AW476" i="1"/>
  <c r="AW472" i="1"/>
  <c r="AW444" i="1"/>
  <c r="AW409" i="1"/>
  <c r="AW407" i="1"/>
  <c r="AW399" i="1"/>
  <c r="AW330" i="1"/>
  <c r="AW223" i="1"/>
  <c r="AW210" i="1"/>
  <c r="AW198" i="1"/>
  <c r="AW187" i="1"/>
  <c r="AW412" i="1"/>
  <c r="AW172" i="1"/>
  <c r="AW125" i="1"/>
  <c r="AW115" i="1"/>
  <c r="AW381" i="1"/>
  <c r="AW139" i="1"/>
  <c r="AW135" i="1"/>
  <c r="AW52" i="1"/>
  <c r="AW389" i="1"/>
  <c r="AW244" i="1"/>
  <c r="AW242" i="1"/>
  <c r="AW217" i="1"/>
  <c r="AW160" i="1"/>
  <c r="AW155" i="1"/>
  <c r="AW104" i="1"/>
  <c r="AW95" i="1"/>
  <c r="AW70" i="1"/>
  <c r="AW340" i="1"/>
  <c r="AW131" i="1"/>
  <c r="AW120" i="1"/>
  <c r="AW112" i="1"/>
  <c r="AW66" i="1"/>
  <c r="AW59" i="1"/>
  <c r="AW80" i="1"/>
  <c r="AW149" i="1"/>
  <c r="AW385" i="1"/>
  <c r="AW88" i="1"/>
  <c r="AW143" i="1"/>
  <c r="AX3" i="1"/>
  <c r="AW4" i="1"/>
  <c r="AX108" i="1"/>
  <c r="AX192" i="1"/>
  <c r="L88" i="5"/>
  <c r="L114" i="5"/>
  <c r="J120" i="5"/>
  <c r="J136" i="5"/>
  <c r="I594" i="9"/>
  <c r="T594" i="9"/>
  <c r="K118" i="5"/>
  <c r="K125" i="5"/>
  <c r="K100" i="5"/>
  <c r="K112" i="5"/>
  <c r="K103" i="5"/>
  <c r="K116" i="5"/>
  <c r="K104" i="5"/>
  <c r="L78" i="5"/>
  <c r="K101" i="5"/>
  <c r="K126" i="5"/>
  <c r="K113" i="5"/>
  <c r="K106" i="5"/>
  <c r="K127" i="5"/>
  <c r="K114" i="5"/>
  <c r="K102" i="5"/>
  <c r="K105" i="5"/>
  <c r="K117" i="5"/>
  <c r="K115" i="5"/>
  <c r="K128" i="5"/>
  <c r="K123" i="5"/>
  <c r="K110" i="5"/>
  <c r="K98" i="5"/>
  <c r="K99" i="5"/>
  <c r="J133" i="5"/>
  <c r="I578" i="9"/>
  <c r="T578" i="9"/>
  <c r="K95" i="5"/>
  <c r="H562" i="9"/>
  <c r="S562" i="9"/>
  <c r="L90" i="5"/>
  <c r="L129" i="5"/>
  <c r="AX249" i="1"/>
  <c r="AX273" i="1"/>
  <c r="AX269" i="1"/>
  <c r="L91" i="5"/>
  <c r="L130" i="5"/>
  <c r="L80" i="5"/>
  <c r="AX282" i="1"/>
  <c r="AX284" i="1"/>
  <c r="M67" i="5"/>
  <c r="M74" i="5"/>
  <c r="M46" i="5"/>
  <c r="L77" i="5"/>
  <c r="M65" i="5"/>
  <c r="M72" i="5"/>
  <c r="M64" i="5"/>
  <c r="M71" i="5"/>
  <c r="L85" i="5"/>
  <c r="L79" i="5"/>
  <c r="L84" i="5"/>
  <c r="N28" i="5"/>
  <c r="N61" i="5"/>
  <c r="M66" i="5"/>
  <c r="M73" i="5"/>
  <c r="M62" i="5"/>
  <c r="M63" i="5"/>
  <c r="M60" i="5"/>
  <c r="L83" i="5"/>
  <c r="M61" i="5"/>
  <c r="M68" i="5"/>
  <c r="M47" i="5"/>
  <c r="M54" i="5"/>
  <c r="L82" i="5"/>
  <c r="L81" i="5"/>
  <c r="AX262" i="1"/>
  <c r="AX265" i="1"/>
  <c r="M50" i="5"/>
  <c r="M57" i="5"/>
  <c r="N37" i="5"/>
  <c r="N22" i="5"/>
  <c r="M48" i="5"/>
  <c r="M55" i="5"/>
  <c r="M49" i="5"/>
  <c r="M56" i="5"/>
  <c r="N18" i="5"/>
  <c r="N34" i="5"/>
  <c r="M51" i="5"/>
  <c r="M43" i="5"/>
  <c r="M44" i="5"/>
  <c r="M78" i="5"/>
  <c r="N20" i="5"/>
  <c r="M45" i="5"/>
  <c r="AX520" i="1"/>
  <c r="L89" i="5"/>
  <c r="N32" i="5"/>
  <c r="AX514" i="1"/>
  <c r="AX516" i="1"/>
  <c r="N35" i="5"/>
  <c r="N16" i="5"/>
  <c r="N38" i="5"/>
  <c r="N23" i="5"/>
  <c r="N36" i="5"/>
  <c r="N30" i="5"/>
  <c r="N14" i="5"/>
  <c r="N33" i="5"/>
  <c r="N17" i="5"/>
  <c r="N19" i="5"/>
  <c r="N24" i="5"/>
  <c r="N21" i="5"/>
  <c r="O2" i="5"/>
  <c r="O17" i="5"/>
  <c r="AX511" i="1"/>
  <c r="AX507" i="1"/>
  <c r="AX483" i="1"/>
  <c r="AX433" i="1"/>
  <c r="AX403" i="1"/>
  <c r="AX397" i="1"/>
  <c r="AX385" i="1"/>
  <c r="AX501" i="1"/>
  <c r="AX472" i="1"/>
  <c r="AX407" i="1"/>
  <c r="AX389" i="1"/>
  <c r="N2" i="9"/>
  <c r="Y2" i="9"/>
  <c r="AX505" i="1"/>
  <c r="AX468" i="1"/>
  <c r="AX417" i="1"/>
  <c r="AX393" i="1"/>
  <c r="AX381" i="1"/>
  <c r="AX372" i="1"/>
  <c r="AX362" i="1"/>
  <c r="AX242" i="1"/>
  <c r="AX217" i="1"/>
  <c r="AX244" i="1"/>
  <c r="AX496" i="1"/>
  <c r="AX493" i="1"/>
  <c r="AX340" i="1"/>
  <c r="AX337" i="1"/>
  <c r="AX160" i="1"/>
  <c r="AX149" i="1"/>
  <c r="AX139" i="1"/>
  <c r="AX131" i="1"/>
  <c r="AX104" i="1"/>
  <c r="AX88" i="1"/>
  <c r="AX444" i="1"/>
  <c r="AX399" i="1"/>
  <c r="AX198" i="1"/>
  <c r="AX412" i="1"/>
  <c r="AX143" i="1"/>
  <c r="AX80" i="1"/>
  <c r="AX66" i="1"/>
  <c r="AX59" i="1"/>
  <c r="AX476" i="1"/>
  <c r="AX409" i="1"/>
  <c r="AX330" i="1"/>
  <c r="AX323" i="1"/>
  <c r="AX238" i="1"/>
  <c r="AX223" i="1"/>
  <c r="AX210" i="1"/>
  <c r="AX187" i="1"/>
  <c r="AX172" i="1"/>
  <c r="AX120" i="1"/>
  <c r="AX115" i="1"/>
  <c r="AX112" i="1"/>
  <c r="AX376" i="1"/>
  <c r="AX370" i="1"/>
  <c r="AX366" i="1"/>
  <c r="AX360" i="1"/>
  <c r="AX356" i="1"/>
  <c r="AX344" i="1"/>
  <c r="AX205" i="1"/>
  <c r="AX183" i="1"/>
  <c r="AX166" i="1"/>
  <c r="AX135" i="1"/>
  <c r="AX125" i="1"/>
  <c r="AX177" i="1"/>
  <c r="AX155" i="1"/>
  <c r="AX70" i="1"/>
  <c r="AX95" i="1"/>
  <c r="AX52" i="1"/>
  <c r="AY3" i="1"/>
  <c r="AX4" i="1"/>
  <c r="AY108" i="1"/>
  <c r="AY192" i="1"/>
  <c r="BA192" i="1"/>
  <c r="L127" i="5"/>
  <c r="L117" i="5"/>
  <c r="L105" i="5"/>
  <c r="L128" i="5"/>
  <c r="L115" i="5"/>
  <c r="M124" i="5"/>
  <c r="M111" i="5"/>
  <c r="L102" i="5"/>
  <c r="L100" i="5"/>
  <c r="L125" i="5"/>
  <c r="L112" i="5"/>
  <c r="L110" i="5"/>
  <c r="L98" i="5"/>
  <c r="L123" i="5"/>
  <c r="L124" i="5"/>
  <c r="L111" i="5"/>
  <c r="L99" i="5"/>
  <c r="L103" i="5"/>
  <c r="L104" i="5"/>
  <c r="L116" i="5"/>
  <c r="L118" i="5"/>
  <c r="L131" i="5"/>
  <c r="L106" i="5"/>
  <c r="L126" i="5"/>
  <c r="L113" i="5"/>
  <c r="L101" i="5"/>
  <c r="K120" i="5"/>
  <c r="K136" i="5"/>
  <c r="J594" i="9"/>
  <c r="U594" i="9"/>
  <c r="L95" i="5"/>
  <c r="F1299" i="9" a="1"/>
  <c r="BA108" i="1"/>
  <c r="I562" i="9"/>
  <c r="T562" i="9"/>
  <c r="N51" i="5"/>
  <c r="N66" i="5"/>
  <c r="N73" i="5"/>
  <c r="N65" i="5"/>
  <c r="N72" i="5"/>
  <c r="AY249" i="1"/>
  <c r="AY269" i="1"/>
  <c r="AY273" i="1"/>
  <c r="M80" i="5"/>
  <c r="K133" i="5"/>
  <c r="J578" i="9"/>
  <c r="U578" i="9"/>
  <c r="M90" i="5"/>
  <c r="M129" i="5"/>
  <c r="M85" i="5"/>
  <c r="N67" i="5"/>
  <c r="N74" i="5"/>
  <c r="N63" i="5"/>
  <c r="M91" i="5"/>
  <c r="M130" i="5"/>
  <c r="N45" i="5"/>
  <c r="N68" i="5"/>
  <c r="M79" i="5"/>
  <c r="M88" i="5"/>
  <c r="AY282" i="1"/>
  <c r="AY284" i="1"/>
  <c r="N60" i="5"/>
  <c r="N62" i="5"/>
  <c r="N64" i="5"/>
  <c r="N71" i="5"/>
  <c r="M81" i="5"/>
  <c r="M77" i="5"/>
  <c r="M84" i="5"/>
  <c r="AY262" i="1"/>
  <c r="AY265" i="1"/>
  <c r="M82" i="5"/>
  <c r="O21" i="5"/>
  <c r="M89" i="5"/>
  <c r="N48" i="5"/>
  <c r="N55" i="5"/>
  <c r="N47" i="5"/>
  <c r="N54" i="5"/>
  <c r="N43" i="5"/>
  <c r="M83" i="5"/>
  <c r="N44" i="5"/>
  <c r="N78" i="5"/>
  <c r="O33" i="5"/>
  <c r="N50" i="5"/>
  <c r="N57" i="5"/>
  <c r="AY520" i="1"/>
  <c r="F1171" i="9" a="1"/>
  <c r="O20" i="5"/>
  <c r="O23" i="5"/>
  <c r="O24" i="5"/>
  <c r="O14" i="5"/>
  <c r="O18" i="5"/>
  <c r="O37" i="5"/>
  <c r="O19" i="5"/>
  <c r="O34" i="5"/>
  <c r="N49" i="5"/>
  <c r="N46" i="5"/>
  <c r="O22" i="5"/>
  <c r="O32" i="5"/>
  <c r="O31" i="5"/>
  <c r="O38" i="5"/>
  <c r="O36" i="5"/>
  <c r="AY514" i="1"/>
  <c r="F1139" i="9" a="1"/>
  <c r="AY516" i="1"/>
  <c r="O28" i="5"/>
  <c r="O67" i="5"/>
  <c r="O16" i="5"/>
  <c r="O35" i="5"/>
  <c r="O30" i="5"/>
  <c r="P2" i="5"/>
  <c r="P22" i="5"/>
  <c r="AY511" i="1"/>
  <c r="O2" i="9"/>
  <c r="Z2" i="9"/>
  <c r="AY501" i="1"/>
  <c r="F1075" i="9" a="1"/>
  <c r="AY472" i="1"/>
  <c r="AY407" i="1"/>
  <c r="AY389" i="1"/>
  <c r="AY493" i="1"/>
  <c r="AY476" i="1"/>
  <c r="AY444" i="1"/>
  <c r="AY409" i="1"/>
  <c r="AY399" i="1"/>
  <c r="AY483" i="1"/>
  <c r="AY403" i="1"/>
  <c r="AY385" i="1"/>
  <c r="AY376" i="1"/>
  <c r="AY366" i="1"/>
  <c r="AY356" i="1"/>
  <c r="AY340" i="1"/>
  <c r="AY330" i="1"/>
  <c r="AY244" i="1"/>
  <c r="AY381" i="1"/>
  <c r="AY323" i="1"/>
  <c r="AY242" i="1"/>
  <c r="AY238" i="1"/>
  <c r="AY223" i="1"/>
  <c r="AY217" i="1"/>
  <c r="AY210" i="1"/>
  <c r="AY198" i="1"/>
  <c r="AY187" i="1"/>
  <c r="AY412" i="1"/>
  <c r="AY172" i="1"/>
  <c r="AY507" i="1"/>
  <c r="AY505" i="1"/>
  <c r="AY370" i="1"/>
  <c r="AY360" i="1"/>
  <c r="AY344" i="1"/>
  <c r="AY205" i="1"/>
  <c r="AY183" i="1"/>
  <c r="AY177" i="1"/>
  <c r="AY166" i="1"/>
  <c r="AY120" i="1"/>
  <c r="AY496" i="1"/>
  <c r="AY417" i="1"/>
  <c r="AY393" i="1"/>
  <c r="AY155" i="1"/>
  <c r="AY149" i="1"/>
  <c r="AY95" i="1"/>
  <c r="F99" i="9" a="1"/>
  <c r="AY88" i="1"/>
  <c r="AY70" i="1"/>
  <c r="AY468" i="1"/>
  <c r="AY433" i="1"/>
  <c r="AY397" i="1"/>
  <c r="AY337" i="1"/>
  <c r="AY135" i="1"/>
  <c r="AY131" i="1"/>
  <c r="AY125" i="1"/>
  <c r="AY52" i="1"/>
  <c r="F3" i="9" a="1"/>
  <c r="AY372" i="1"/>
  <c r="AY362" i="1"/>
  <c r="AY143" i="1"/>
  <c r="AY139" i="1"/>
  <c r="AY80" i="1"/>
  <c r="F67" i="9" a="1"/>
  <c r="AY160" i="1"/>
  <c r="AY115" i="1"/>
  <c r="AY104" i="1"/>
  <c r="AY66" i="1"/>
  <c r="F35" i="9" a="1"/>
  <c r="AY59" i="1"/>
  <c r="F19" i="9" a="1"/>
  <c r="AY112" i="1"/>
  <c r="AY4" i="1"/>
  <c r="M117" i="5"/>
  <c r="M105" i="5"/>
  <c r="M103" i="5"/>
  <c r="M123" i="5"/>
  <c r="M98" i="5"/>
  <c r="M110" i="5"/>
  <c r="M125" i="5"/>
  <c r="M112" i="5"/>
  <c r="M100" i="5"/>
  <c r="L120" i="5"/>
  <c r="N124" i="5"/>
  <c r="N111" i="5"/>
  <c r="M102" i="5"/>
  <c r="M113" i="5"/>
  <c r="M126" i="5"/>
  <c r="M101" i="5"/>
  <c r="M99" i="5"/>
  <c r="M127" i="5"/>
  <c r="M114" i="5"/>
  <c r="M116" i="5"/>
  <c r="M104" i="5"/>
  <c r="M115" i="5"/>
  <c r="M128" i="5"/>
  <c r="M131" i="5"/>
  <c r="M118" i="5"/>
  <c r="M106" i="5"/>
  <c r="M95" i="5"/>
  <c r="F1299" i="9"/>
  <c r="L1300" i="9"/>
  <c r="W1300" i="9"/>
  <c r="H1302" i="9"/>
  <c r="S1302" i="9"/>
  <c r="N1303" i="9"/>
  <c r="Y1303" i="9"/>
  <c r="J1305" i="9"/>
  <c r="U1305" i="9"/>
  <c r="F1307" i="9"/>
  <c r="L1308" i="9"/>
  <c r="W1308" i="9"/>
  <c r="H1310" i="9"/>
  <c r="S1310" i="9"/>
  <c r="N1311" i="9"/>
  <c r="Y1311" i="9"/>
  <c r="J1313" i="9"/>
  <c r="U1313" i="9"/>
  <c r="G1299" i="9"/>
  <c r="R1299" i="9"/>
  <c r="M1300" i="9"/>
  <c r="X1300" i="9"/>
  <c r="I1302" i="9"/>
  <c r="T1302" i="9"/>
  <c r="O1303" i="9"/>
  <c r="Z1303" i="9"/>
  <c r="K1305" i="9"/>
  <c r="V1305" i="9"/>
  <c r="G1307" i="9"/>
  <c r="R1307" i="9"/>
  <c r="M1308" i="9"/>
  <c r="X1308" i="9"/>
  <c r="I1310" i="9"/>
  <c r="T1310" i="9"/>
  <c r="O1311" i="9"/>
  <c r="Z1311" i="9"/>
  <c r="K1313" i="9"/>
  <c r="V1313" i="9"/>
  <c r="N1314" i="9"/>
  <c r="Y1314" i="9"/>
  <c r="L1311" i="9"/>
  <c r="W1311" i="9"/>
  <c r="J1308" i="9"/>
  <c r="U1308" i="9"/>
  <c r="H1305" i="9"/>
  <c r="S1305" i="9"/>
  <c r="F1302" i="9"/>
  <c r="K1314" i="9"/>
  <c r="V1314" i="9"/>
  <c r="I1311" i="9"/>
  <c r="T1311" i="9"/>
  <c r="G1308" i="9"/>
  <c r="R1308" i="9"/>
  <c r="O1304" i="9"/>
  <c r="Z1304" i="9"/>
  <c r="M1301" i="9"/>
  <c r="X1301" i="9"/>
  <c r="J1314" i="9"/>
  <c r="U1314" i="9"/>
  <c r="H1311" i="9"/>
  <c r="S1311" i="9"/>
  <c r="F1308" i="9"/>
  <c r="N1304" i="9"/>
  <c r="Y1304" i="9"/>
  <c r="L1301" i="9"/>
  <c r="W1301" i="9"/>
  <c r="O1314" i="9"/>
  <c r="Z1314" i="9"/>
  <c r="M1311" i="9"/>
  <c r="X1311" i="9"/>
  <c r="K1308" i="9"/>
  <c r="V1308" i="9"/>
  <c r="I1305" i="9"/>
  <c r="T1305" i="9"/>
  <c r="G1302" i="9"/>
  <c r="R1302" i="9"/>
  <c r="J1299" i="9"/>
  <c r="U1299" i="9"/>
  <c r="F1301" i="9"/>
  <c r="L1302" i="9"/>
  <c r="W1302" i="9"/>
  <c r="H1304" i="9"/>
  <c r="S1304" i="9"/>
  <c r="N1305" i="9"/>
  <c r="Y1305" i="9"/>
  <c r="J1307" i="9"/>
  <c r="U1307" i="9"/>
  <c r="F1309" i="9"/>
  <c r="L1310" i="9"/>
  <c r="W1310" i="9"/>
  <c r="H1312" i="9"/>
  <c r="S1312" i="9"/>
  <c r="N1299" i="9"/>
  <c r="Y1299" i="9"/>
  <c r="J1301" i="9"/>
  <c r="U1301" i="9"/>
  <c r="F1303" i="9"/>
  <c r="L1304" i="9"/>
  <c r="W1304" i="9"/>
  <c r="H1306" i="9"/>
  <c r="S1306" i="9"/>
  <c r="N1307" i="9"/>
  <c r="Y1307" i="9"/>
  <c r="J1309" i="9"/>
  <c r="U1309" i="9"/>
  <c r="F1311" i="9"/>
  <c r="L1312" i="9"/>
  <c r="W1312" i="9"/>
  <c r="H1314" i="9"/>
  <c r="S1314" i="9"/>
  <c r="O1299" i="9"/>
  <c r="Z1299" i="9"/>
  <c r="K1301" i="9"/>
  <c r="V1301" i="9"/>
  <c r="G1303" i="9"/>
  <c r="R1303" i="9"/>
  <c r="M1304" i="9"/>
  <c r="X1304" i="9"/>
  <c r="I1306" i="9"/>
  <c r="T1306" i="9"/>
  <c r="O1307" i="9"/>
  <c r="Z1307" i="9"/>
  <c r="K1309" i="9"/>
  <c r="V1309" i="9"/>
  <c r="G1311" i="9"/>
  <c r="R1311" i="9"/>
  <c r="M1312" i="9"/>
  <c r="X1312" i="9"/>
  <c r="I1314" i="9"/>
  <c r="T1314" i="9"/>
  <c r="H1313" i="9"/>
  <c r="S1313" i="9"/>
  <c r="F1310" i="9"/>
  <c r="N1306" i="9"/>
  <c r="Y1306" i="9"/>
  <c r="L1303" i="9"/>
  <c r="W1303" i="9"/>
  <c r="J1300" i="9"/>
  <c r="U1300" i="9"/>
  <c r="O1312" i="9"/>
  <c r="Z1312" i="9"/>
  <c r="M1309" i="9"/>
  <c r="X1309" i="9"/>
  <c r="K1306" i="9"/>
  <c r="V1306" i="9"/>
  <c r="I1303" i="9"/>
  <c r="T1303" i="9"/>
  <c r="G1300" i="9"/>
  <c r="R1300" i="9"/>
  <c r="N1312" i="9"/>
  <c r="Y1312" i="9"/>
  <c r="L1309" i="9"/>
  <c r="W1309" i="9"/>
  <c r="J1306" i="9"/>
  <c r="U1306" i="9"/>
  <c r="H1303" i="9"/>
  <c r="S1303" i="9"/>
  <c r="F1300" i="9"/>
  <c r="I1313" i="9"/>
  <c r="T1313" i="9"/>
  <c r="G1310" i="9"/>
  <c r="R1310" i="9"/>
  <c r="O1306" i="9"/>
  <c r="Z1306" i="9"/>
  <c r="M1303" i="9"/>
  <c r="X1303" i="9"/>
  <c r="K1300" i="9"/>
  <c r="V1300" i="9"/>
  <c r="H1300" i="9"/>
  <c r="S1300" i="9"/>
  <c r="N1301" i="9"/>
  <c r="Y1301" i="9"/>
  <c r="J1303" i="9"/>
  <c r="U1303" i="9"/>
  <c r="F1305" i="9"/>
  <c r="L1306" i="9"/>
  <c r="W1306" i="9"/>
  <c r="H1308" i="9"/>
  <c r="S1308" i="9"/>
  <c r="N1309" i="9"/>
  <c r="Y1309" i="9"/>
  <c r="J1311" i="9"/>
  <c r="U1311" i="9"/>
  <c r="F1313" i="9"/>
  <c r="L1314" i="9"/>
  <c r="W1314" i="9"/>
  <c r="I1300" i="9"/>
  <c r="T1300" i="9"/>
  <c r="O1301" i="9"/>
  <c r="Z1301" i="9"/>
  <c r="K1303" i="9"/>
  <c r="V1303" i="9"/>
  <c r="G1305" i="9"/>
  <c r="R1305" i="9"/>
  <c r="M1306" i="9"/>
  <c r="X1306" i="9"/>
  <c r="I1308" i="9"/>
  <c r="T1308" i="9"/>
  <c r="O1309" i="9"/>
  <c r="Z1309" i="9"/>
  <c r="K1311" i="9"/>
  <c r="V1311" i="9"/>
  <c r="G1313" i="9"/>
  <c r="R1313" i="9"/>
  <c r="M1314" i="9"/>
  <c r="X1314" i="9"/>
  <c r="J1312" i="9"/>
  <c r="U1312" i="9"/>
  <c r="H1309" i="9"/>
  <c r="S1309" i="9"/>
  <c r="F1306" i="9"/>
  <c r="N1302" i="9"/>
  <c r="Y1302" i="9"/>
  <c r="L1299" i="9"/>
  <c r="W1299" i="9"/>
  <c r="G1312" i="9"/>
  <c r="R1312" i="9"/>
  <c r="O1308" i="9"/>
  <c r="Z1308" i="9"/>
  <c r="M1305" i="9"/>
  <c r="X1305" i="9"/>
  <c r="K1302" i="9"/>
  <c r="V1302" i="9"/>
  <c r="I1299" i="9"/>
  <c r="T1299" i="9"/>
  <c r="F1312" i="9"/>
  <c r="N1308" i="9"/>
  <c r="Y1308" i="9"/>
  <c r="L1305" i="9"/>
  <c r="W1305" i="9"/>
  <c r="J1302" i="9"/>
  <c r="U1302" i="9"/>
  <c r="H1299" i="9"/>
  <c r="S1299" i="9"/>
  <c r="K1312" i="9"/>
  <c r="V1312" i="9"/>
  <c r="I1309" i="9"/>
  <c r="T1309" i="9"/>
  <c r="G1306" i="9"/>
  <c r="R1306" i="9"/>
  <c r="O1302" i="9"/>
  <c r="Z1302" i="9"/>
  <c r="M1299" i="9"/>
  <c r="X1299" i="9"/>
  <c r="G1301" i="9"/>
  <c r="R1301" i="9"/>
  <c r="K1307" i="9"/>
  <c r="V1307" i="9"/>
  <c r="O1313" i="9"/>
  <c r="Z1313" i="9"/>
  <c r="J1304" i="9"/>
  <c r="U1304" i="9"/>
  <c r="I1307" i="9"/>
  <c r="T1307" i="9"/>
  <c r="J1310" i="9"/>
  <c r="U1310" i="9"/>
  <c r="G1314" i="9"/>
  <c r="R1314" i="9"/>
  <c r="I1301" i="9"/>
  <c r="T1301" i="9"/>
  <c r="M1302" i="9"/>
  <c r="X1302" i="9"/>
  <c r="G1309" i="9"/>
  <c r="R1309" i="9"/>
  <c r="F1314" i="9"/>
  <c r="H1301" i="9"/>
  <c r="S1301" i="9"/>
  <c r="G1304" i="9"/>
  <c r="R1304" i="9"/>
  <c r="H1307" i="9"/>
  <c r="S1307" i="9"/>
  <c r="O1310" i="9"/>
  <c r="Z1310" i="9"/>
  <c r="N1313" i="9"/>
  <c r="Y1313" i="9"/>
  <c r="I1304" i="9"/>
  <c r="T1304" i="9"/>
  <c r="M1310" i="9"/>
  <c r="X1310" i="9"/>
  <c r="N1310" i="9"/>
  <c r="Y1310" i="9"/>
  <c r="M1313" i="9"/>
  <c r="X1313" i="9"/>
  <c r="O1300" i="9"/>
  <c r="Z1300" i="9"/>
  <c r="F1304" i="9"/>
  <c r="M1307" i="9"/>
  <c r="X1307" i="9"/>
  <c r="K1299" i="9"/>
  <c r="V1299" i="9"/>
  <c r="O1305" i="9"/>
  <c r="Z1305" i="9"/>
  <c r="I1312" i="9"/>
  <c r="T1312" i="9"/>
  <c r="L1307" i="9"/>
  <c r="W1307" i="9"/>
  <c r="K1310" i="9"/>
  <c r="V1310" i="9"/>
  <c r="L1313" i="9"/>
  <c r="W1313" i="9"/>
  <c r="N1300" i="9"/>
  <c r="Y1300" i="9"/>
  <c r="K1304" i="9"/>
  <c r="V1304" i="9"/>
  <c r="J562" i="9"/>
  <c r="U562" i="9"/>
  <c r="N85" i="5"/>
  <c r="BA265" i="1"/>
  <c r="F1219" i="9" a="1"/>
  <c r="N83" i="5"/>
  <c r="BA249" i="1"/>
  <c r="F1187" i="9" a="1"/>
  <c r="BA262" i="1"/>
  <c r="F1203" i="9" a="1"/>
  <c r="BA282" i="1"/>
  <c r="F1267" i="9" a="1"/>
  <c r="BA273" i="1"/>
  <c r="F1251" i="9" a="1"/>
  <c r="BA284" i="1"/>
  <c r="F1283" i="9" a="1"/>
  <c r="BA269" i="1"/>
  <c r="F1235" i="9" a="1"/>
  <c r="L133" i="5"/>
  <c r="K578" i="9"/>
  <c r="V578" i="9"/>
  <c r="K562" i="9"/>
  <c r="V562" i="9"/>
  <c r="N80" i="5"/>
  <c r="N77" i="5"/>
  <c r="P23" i="5"/>
  <c r="N91" i="5"/>
  <c r="N130" i="5"/>
  <c r="O74" i="5"/>
  <c r="N79" i="5"/>
  <c r="N84" i="5"/>
  <c r="N82" i="5"/>
  <c r="N89" i="5"/>
  <c r="O49" i="5"/>
  <c r="O56" i="5"/>
  <c r="N81" i="5"/>
  <c r="O64" i="5"/>
  <c r="O71" i="5"/>
  <c r="P21" i="5"/>
  <c r="P19" i="5"/>
  <c r="P37" i="5"/>
  <c r="P18" i="5"/>
  <c r="O50" i="5"/>
  <c r="O57" i="5"/>
  <c r="O46" i="5"/>
  <c r="O43" i="5"/>
  <c r="O51" i="5"/>
  <c r="O47" i="5"/>
  <c r="O54" i="5"/>
  <c r="O48" i="5"/>
  <c r="O55" i="5"/>
  <c r="O44" i="5"/>
  <c r="I1171" i="9"/>
  <c r="T1171" i="9"/>
  <c r="L1185" i="9"/>
  <c r="W1185" i="9"/>
  <c r="F1184" i="9"/>
  <c r="Q1184" i="9"/>
  <c r="J1182" i="9"/>
  <c r="U1182" i="9"/>
  <c r="N1180" i="9"/>
  <c r="Y1180" i="9"/>
  <c r="H1179" i="9"/>
  <c r="S1179" i="9"/>
  <c r="L1177" i="9"/>
  <c r="W1177" i="9"/>
  <c r="F1176" i="9"/>
  <c r="Q1176" i="9"/>
  <c r="J1174" i="9"/>
  <c r="U1174" i="9"/>
  <c r="N1172" i="9"/>
  <c r="Y1172" i="9"/>
  <c r="H1171" i="9"/>
  <c r="S1171" i="9"/>
  <c r="K1185" i="9"/>
  <c r="V1185" i="9"/>
  <c r="O1183" i="9"/>
  <c r="Z1183" i="9"/>
  <c r="I1182" i="9"/>
  <c r="T1182" i="9"/>
  <c r="M1180" i="9"/>
  <c r="X1180" i="9"/>
  <c r="G1179" i="9"/>
  <c r="R1179" i="9"/>
  <c r="K1177" i="9"/>
  <c r="V1177" i="9"/>
  <c r="O1175" i="9"/>
  <c r="Z1175" i="9"/>
  <c r="I1174" i="9"/>
  <c r="T1174" i="9"/>
  <c r="M1172" i="9"/>
  <c r="X1172" i="9"/>
  <c r="G1171" i="9"/>
  <c r="R1171" i="9"/>
  <c r="J1185" i="9"/>
  <c r="U1185" i="9"/>
  <c r="N1183" i="9"/>
  <c r="Y1183" i="9"/>
  <c r="H1182" i="9"/>
  <c r="S1182" i="9"/>
  <c r="L1180" i="9"/>
  <c r="W1180" i="9"/>
  <c r="F1179" i="9"/>
  <c r="Q1179" i="9"/>
  <c r="J1177" i="9"/>
  <c r="U1177" i="9"/>
  <c r="N1175" i="9"/>
  <c r="Y1175" i="9"/>
  <c r="H1174" i="9"/>
  <c r="S1174" i="9"/>
  <c r="L1172" i="9"/>
  <c r="W1172" i="9"/>
  <c r="F1171" i="9"/>
  <c r="Q1171" i="9"/>
  <c r="M1185" i="9"/>
  <c r="X1185" i="9"/>
  <c r="G1184" i="9"/>
  <c r="R1184" i="9"/>
  <c r="K1182" i="9"/>
  <c r="V1182" i="9"/>
  <c r="O1180" i="9"/>
  <c r="Z1180" i="9"/>
  <c r="I1179" i="9"/>
  <c r="T1179" i="9"/>
  <c r="M1177" i="9"/>
  <c r="X1177" i="9"/>
  <c r="G1176" i="9"/>
  <c r="R1176" i="9"/>
  <c r="K1174" i="9"/>
  <c r="V1174" i="9"/>
  <c r="O1172" i="9"/>
  <c r="Z1172" i="9"/>
  <c r="J1186" i="9"/>
  <c r="U1186" i="9"/>
  <c r="N1184" i="9"/>
  <c r="Y1184" i="9"/>
  <c r="H1183" i="9"/>
  <c r="S1183" i="9"/>
  <c r="L1181" i="9"/>
  <c r="W1181" i="9"/>
  <c r="F1180" i="9"/>
  <c r="Q1180" i="9"/>
  <c r="J1178" i="9"/>
  <c r="U1178" i="9"/>
  <c r="N1176" i="9"/>
  <c r="Y1176" i="9"/>
  <c r="H1175" i="9"/>
  <c r="S1175" i="9"/>
  <c r="L1173" i="9"/>
  <c r="W1173" i="9"/>
  <c r="F1172" i="9"/>
  <c r="Q1172" i="9"/>
  <c r="I1186" i="9"/>
  <c r="T1186" i="9"/>
  <c r="M1184" i="9"/>
  <c r="X1184" i="9"/>
  <c r="G1183" i="9"/>
  <c r="R1183" i="9"/>
  <c r="K1181" i="9"/>
  <c r="V1181" i="9"/>
  <c r="O1179" i="9"/>
  <c r="Z1179" i="9"/>
  <c r="I1178" i="9"/>
  <c r="T1178" i="9"/>
  <c r="M1176" i="9"/>
  <c r="X1176" i="9"/>
  <c r="G1175" i="9"/>
  <c r="R1175" i="9"/>
  <c r="K1173" i="9"/>
  <c r="V1173" i="9"/>
  <c r="O1171" i="9"/>
  <c r="Z1171" i="9"/>
  <c r="H1186" i="9"/>
  <c r="S1186" i="9"/>
  <c r="L1184" i="9"/>
  <c r="W1184" i="9"/>
  <c r="F1183" i="9"/>
  <c r="Q1183" i="9"/>
  <c r="J1181" i="9"/>
  <c r="U1181" i="9"/>
  <c r="N1179" i="9"/>
  <c r="Y1179" i="9"/>
  <c r="H1178" i="9"/>
  <c r="S1178" i="9"/>
  <c r="L1176" i="9"/>
  <c r="W1176" i="9"/>
  <c r="F1175" i="9"/>
  <c r="Q1175" i="9"/>
  <c r="J1173" i="9"/>
  <c r="U1173" i="9"/>
  <c r="N1171" i="9"/>
  <c r="Y1171" i="9"/>
  <c r="K1186" i="9"/>
  <c r="V1186" i="9"/>
  <c r="O1184" i="9"/>
  <c r="Z1184" i="9"/>
  <c r="I1183" i="9"/>
  <c r="T1183" i="9"/>
  <c r="M1181" i="9"/>
  <c r="X1181" i="9"/>
  <c r="G1180" i="9"/>
  <c r="R1180" i="9"/>
  <c r="K1178" i="9"/>
  <c r="V1178" i="9"/>
  <c r="O1176" i="9"/>
  <c r="Z1176" i="9"/>
  <c r="I1175" i="9"/>
  <c r="T1175" i="9"/>
  <c r="M1173" i="9"/>
  <c r="X1173" i="9"/>
  <c r="G1172" i="9"/>
  <c r="R1172" i="9"/>
  <c r="N1186" i="9"/>
  <c r="Y1186" i="9"/>
  <c r="L1183" i="9"/>
  <c r="W1183" i="9"/>
  <c r="J1180" i="9"/>
  <c r="U1180" i="9"/>
  <c r="H1177" i="9"/>
  <c r="S1177" i="9"/>
  <c r="F1174" i="9"/>
  <c r="Q1174" i="9"/>
  <c r="M1186" i="9"/>
  <c r="X1186" i="9"/>
  <c r="K1183" i="9"/>
  <c r="V1183" i="9"/>
  <c r="I1180" i="9"/>
  <c r="T1180" i="9"/>
  <c r="G1177" i="9"/>
  <c r="R1177" i="9"/>
  <c r="O1173" i="9"/>
  <c r="Z1173" i="9"/>
  <c r="L1186" i="9"/>
  <c r="W1186" i="9"/>
  <c r="J1183" i="9"/>
  <c r="U1183" i="9"/>
  <c r="H1180" i="9"/>
  <c r="S1180" i="9"/>
  <c r="F1177" i="9"/>
  <c r="Q1177" i="9"/>
  <c r="N1173" i="9"/>
  <c r="Y1173" i="9"/>
  <c r="O1186" i="9"/>
  <c r="Z1186" i="9"/>
  <c r="M1183" i="9"/>
  <c r="X1183" i="9"/>
  <c r="K1180" i="9"/>
  <c r="V1180" i="9"/>
  <c r="I1177" i="9"/>
  <c r="T1177" i="9"/>
  <c r="G1174" i="9"/>
  <c r="R1174" i="9"/>
  <c r="F1186" i="9"/>
  <c r="Q1186" i="9"/>
  <c r="N1182" i="9"/>
  <c r="Y1182" i="9"/>
  <c r="L1179" i="9"/>
  <c r="W1179" i="9"/>
  <c r="J1176" i="9"/>
  <c r="U1176" i="9"/>
  <c r="H1173" i="9"/>
  <c r="S1173" i="9"/>
  <c r="O1185" i="9"/>
  <c r="Z1185" i="9"/>
  <c r="M1182" i="9"/>
  <c r="X1182" i="9"/>
  <c r="K1179" i="9"/>
  <c r="V1179" i="9"/>
  <c r="I1176" i="9"/>
  <c r="T1176" i="9"/>
  <c r="G1173" i="9"/>
  <c r="R1173" i="9"/>
  <c r="N1185" i="9"/>
  <c r="Y1185" i="9"/>
  <c r="L1182" i="9"/>
  <c r="W1182" i="9"/>
  <c r="J1179" i="9"/>
  <c r="U1179" i="9"/>
  <c r="H1176" i="9"/>
  <c r="S1176" i="9"/>
  <c r="F1173" i="9"/>
  <c r="Q1173" i="9"/>
  <c r="G1186" i="9"/>
  <c r="R1186" i="9"/>
  <c r="O1182" i="9"/>
  <c r="Z1182" i="9"/>
  <c r="M1179" i="9"/>
  <c r="X1179" i="9"/>
  <c r="K1176" i="9"/>
  <c r="V1176" i="9"/>
  <c r="I1173" i="9"/>
  <c r="T1173" i="9"/>
  <c r="H1185" i="9"/>
  <c r="S1185" i="9"/>
  <c r="F1182" i="9"/>
  <c r="Q1182" i="9"/>
  <c r="N1178" i="9"/>
  <c r="Y1178" i="9"/>
  <c r="L1175" i="9"/>
  <c r="W1175" i="9"/>
  <c r="J1172" i="9"/>
  <c r="U1172" i="9"/>
  <c r="G1185" i="9"/>
  <c r="R1185" i="9"/>
  <c r="O1181" i="9"/>
  <c r="Z1181" i="9"/>
  <c r="M1178" i="9"/>
  <c r="X1178" i="9"/>
  <c r="K1175" i="9"/>
  <c r="V1175" i="9"/>
  <c r="I1172" i="9"/>
  <c r="T1172" i="9"/>
  <c r="F1185" i="9"/>
  <c r="Q1185" i="9"/>
  <c r="N1181" i="9"/>
  <c r="Y1181" i="9"/>
  <c r="L1178" i="9"/>
  <c r="W1178" i="9"/>
  <c r="J1175" i="9"/>
  <c r="U1175" i="9"/>
  <c r="H1172" i="9"/>
  <c r="S1172" i="9"/>
  <c r="I1185" i="9"/>
  <c r="T1185" i="9"/>
  <c r="G1182" i="9"/>
  <c r="R1182" i="9"/>
  <c r="O1178" i="9"/>
  <c r="Z1178" i="9"/>
  <c r="M1175" i="9"/>
  <c r="X1175" i="9"/>
  <c r="K1172" i="9"/>
  <c r="V1172" i="9"/>
  <c r="J1184" i="9"/>
  <c r="U1184" i="9"/>
  <c r="H1181" i="9"/>
  <c r="S1181" i="9"/>
  <c r="F1178" i="9"/>
  <c r="Q1178" i="9"/>
  <c r="N1174" i="9"/>
  <c r="Y1174" i="9"/>
  <c r="L1171" i="9"/>
  <c r="W1171" i="9"/>
  <c r="I1184" i="9"/>
  <c r="T1184" i="9"/>
  <c r="G1181" i="9"/>
  <c r="R1181" i="9"/>
  <c r="O1177" i="9"/>
  <c r="Z1177" i="9"/>
  <c r="M1174" i="9"/>
  <c r="X1174" i="9"/>
  <c r="K1171" i="9"/>
  <c r="V1171" i="9"/>
  <c r="H1184" i="9"/>
  <c r="S1184" i="9"/>
  <c r="F1181" i="9"/>
  <c r="Q1181" i="9"/>
  <c r="N1177" i="9"/>
  <c r="Y1177" i="9"/>
  <c r="L1174" i="9"/>
  <c r="W1174" i="9"/>
  <c r="J1171" i="9"/>
  <c r="U1171" i="9"/>
  <c r="K1184" i="9"/>
  <c r="V1184" i="9"/>
  <c r="I1181" i="9"/>
  <c r="T1181" i="9"/>
  <c r="G1178" i="9"/>
  <c r="R1178" i="9"/>
  <c r="O1174" i="9"/>
  <c r="Z1174" i="9"/>
  <c r="M1171" i="9"/>
  <c r="X1171" i="9"/>
  <c r="BA516" i="1"/>
  <c r="F1155" i="9" a="1"/>
  <c r="O45" i="5"/>
  <c r="BA511" i="1"/>
  <c r="F1123" i="9" a="1"/>
  <c r="G1139" i="9"/>
  <c r="R1139" i="9"/>
  <c r="F1139" i="9"/>
  <c r="Q1139" i="9"/>
  <c r="L1140" i="9"/>
  <c r="W1140" i="9"/>
  <c r="M1141" i="9"/>
  <c r="X1141" i="9"/>
  <c r="K1142" i="9"/>
  <c r="V1142" i="9"/>
  <c r="I1143" i="9"/>
  <c r="T1143" i="9"/>
  <c r="G1144" i="9"/>
  <c r="R1144" i="9"/>
  <c r="O1144" i="9"/>
  <c r="Z1144" i="9"/>
  <c r="M1145" i="9"/>
  <c r="X1145" i="9"/>
  <c r="K1146" i="9"/>
  <c r="V1146" i="9"/>
  <c r="I1147" i="9"/>
  <c r="T1147" i="9"/>
  <c r="G1148" i="9"/>
  <c r="R1148" i="9"/>
  <c r="O1148" i="9"/>
  <c r="Z1148" i="9"/>
  <c r="M1149" i="9"/>
  <c r="X1149" i="9"/>
  <c r="K1150" i="9"/>
  <c r="V1150" i="9"/>
  <c r="I1151" i="9"/>
  <c r="T1151" i="9"/>
  <c r="G1152" i="9"/>
  <c r="R1152" i="9"/>
  <c r="O1152" i="9"/>
  <c r="Z1152" i="9"/>
  <c r="M1153" i="9"/>
  <c r="X1153" i="9"/>
  <c r="K1154" i="9"/>
  <c r="V1154" i="9"/>
  <c r="J1139" i="9"/>
  <c r="U1139" i="9"/>
  <c r="F1141" i="9"/>
  <c r="Q1141" i="9"/>
  <c r="N1141" i="9"/>
  <c r="Y1141" i="9"/>
  <c r="L1142" i="9"/>
  <c r="W1142" i="9"/>
  <c r="J1143" i="9"/>
  <c r="U1143" i="9"/>
  <c r="H1144" i="9"/>
  <c r="S1144" i="9"/>
  <c r="F1145" i="9"/>
  <c r="Q1145" i="9"/>
  <c r="N1145" i="9"/>
  <c r="Y1145" i="9"/>
  <c r="L1146" i="9"/>
  <c r="W1146" i="9"/>
  <c r="J1147" i="9"/>
  <c r="U1147" i="9"/>
  <c r="H1148" i="9"/>
  <c r="S1148" i="9"/>
  <c r="F1149" i="9"/>
  <c r="Q1149" i="9"/>
  <c r="N1149" i="9"/>
  <c r="Y1149" i="9"/>
  <c r="L1150" i="9"/>
  <c r="W1150" i="9"/>
  <c r="J1151" i="9"/>
  <c r="U1151" i="9"/>
  <c r="H1152" i="9"/>
  <c r="S1152" i="9"/>
  <c r="F1153" i="9"/>
  <c r="Q1153" i="9"/>
  <c r="N1153" i="9"/>
  <c r="Y1153" i="9"/>
  <c r="L1154" i="9"/>
  <c r="W1154" i="9"/>
  <c r="J1141" i="9"/>
  <c r="U1141" i="9"/>
  <c r="F1143" i="9"/>
  <c r="Q1143" i="9"/>
  <c r="L1144" i="9"/>
  <c r="W1144" i="9"/>
  <c r="H1146" i="9"/>
  <c r="S1146" i="9"/>
  <c r="N1147" i="9"/>
  <c r="Y1147" i="9"/>
  <c r="J1149" i="9"/>
  <c r="U1149" i="9"/>
  <c r="F1151" i="9"/>
  <c r="Q1151" i="9"/>
  <c r="L1152" i="9"/>
  <c r="W1152" i="9"/>
  <c r="H1154" i="9"/>
  <c r="S1154" i="9"/>
  <c r="N1139" i="9"/>
  <c r="Y1139" i="9"/>
  <c r="G1142" i="9"/>
  <c r="R1142" i="9"/>
  <c r="M1143" i="9"/>
  <c r="X1143" i="9"/>
  <c r="I1145" i="9"/>
  <c r="T1145" i="9"/>
  <c r="O1146" i="9"/>
  <c r="Z1146" i="9"/>
  <c r="K1148" i="9"/>
  <c r="V1148" i="9"/>
  <c r="G1150" i="9"/>
  <c r="R1150" i="9"/>
  <c r="M1151" i="9"/>
  <c r="X1151" i="9"/>
  <c r="I1153" i="9"/>
  <c r="T1153" i="9"/>
  <c r="O1154" i="9"/>
  <c r="Z1154" i="9"/>
  <c r="H1140" i="9"/>
  <c r="S1140" i="9"/>
  <c r="H1142" i="9"/>
  <c r="S1142" i="9"/>
  <c r="N1143" i="9"/>
  <c r="Y1143" i="9"/>
  <c r="J1145" i="9"/>
  <c r="U1145" i="9"/>
  <c r="F1147" i="9"/>
  <c r="Q1147" i="9"/>
  <c r="L1148" i="9"/>
  <c r="W1148" i="9"/>
  <c r="H1150" i="9"/>
  <c r="S1150" i="9"/>
  <c r="N1151" i="9"/>
  <c r="Y1151" i="9"/>
  <c r="J1153" i="9"/>
  <c r="U1153" i="9"/>
  <c r="I1141" i="9"/>
  <c r="T1141" i="9"/>
  <c r="O1142" i="9"/>
  <c r="Z1142" i="9"/>
  <c r="K1144" i="9"/>
  <c r="V1144" i="9"/>
  <c r="G1146" i="9"/>
  <c r="R1146" i="9"/>
  <c r="M1147" i="9"/>
  <c r="X1147" i="9"/>
  <c r="I1149" i="9"/>
  <c r="T1149" i="9"/>
  <c r="O1150" i="9"/>
  <c r="Z1150" i="9"/>
  <c r="K1152" i="9"/>
  <c r="V1152" i="9"/>
  <c r="G1154" i="9"/>
  <c r="R1154" i="9"/>
  <c r="K1140" i="9"/>
  <c r="V1140" i="9"/>
  <c r="N1154" i="9"/>
  <c r="Y1154" i="9"/>
  <c r="H1153" i="9"/>
  <c r="S1153" i="9"/>
  <c r="L1151" i="9"/>
  <c r="W1151" i="9"/>
  <c r="F1150" i="9"/>
  <c r="Q1150" i="9"/>
  <c r="J1148" i="9"/>
  <c r="U1148" i="9"/>
  <c r="N1146" i="9"/>
  <c r="Y1146" i="9"/>
  <c r="H1145" i="9"/>
  <c r="S1145" i="9"/>
  <c r="L1143" i="9"/>
  <c r="W1143" i="9"/>
  <c r="F1142" i="9"/>
  <c r="Q1142" i="9"/>
  <c r="J1140" i="9"/>
  <c r="U1140" i="9"/>
  <c r="M1154" i="9"/>
  <c r="X1154" i="9"/>
  <c r="G1153" i="9"/>
  <c r="R1153" i="9"/>
  <c r="K1151" i="9"/>
  <c r="V1151" i="9"/>
  <c r="O1149" i="9"/>
  <c r="Z1149" i="9"/>
  <c r="I1148" i="9"/>
  <c r="T1148" i="9"/>
  <c r="M1146" i="9"/>
  <c r="X1146" i="9"/>
  <c r="G1145" i="9"/>
  <c r="R1145" i="9"/>
  <c r="K1143" i="9"/>
  <c r="V1143" i="9"/>
  <c r="O1141" i="9"/>
  <c r="Z1141" i="9"/>
  <c r="I1140" i="9"/>
  <c r="T1140" i="9"/>
  <c r="M1139" i="9"/>
  <c r="X1139" i="9"/>
  <c r="F1154" i="9"/>
  <c r="Q1154" i="9"/>
  <c r="J1152" i="9"/>
  <c r="U1152" i="9"/>
  <c r="N1150" i="9"/>
  <c r="Y1150" i="9"/>
  <c r="H1149" i="9"/>
  <c r="S1149" i="9"/>
  <c r="L1147" i="9"/>
  <c r="W1147" i="9"/>
  <c r="F1146" i="9"/>
  <c r="Q1146" i="9"/>
  <c r="J1144" i="9"/>
  <c r="U1144" i="9"/>
  <c r="N1142" i="9"/>
  <c r="Y1142" i="9"/>
  <c r="H1141" i="9"/>
  <c r="S1141" i="9"/>
  <c r="L1139" i="9"/>
  <c r="W1139" i="9"/>
  <c r="O1153" i="9"/>
  <c r="Z1153" i="9"/>
  <c r="I1152" i="9"/>
  <c r="T1152" i="9"/>
  <c r="M1150" i="9"/>
  <c r="X1150" i="9"/>
  <c r="G1149" i="9"/>
  <c r="R1149" i="9"/>
  <c r="K1147" i="9"/>
  <c r="V1147" i="9"/>
  <c r="O1145" i="9"/>
  <c r="Z1145" i="9"/>
  <c r="I1144" i="9"/>
  <c r="T1144" i="9"/>
  <c r="M1142" i="9"/>
  <c r="X1142" i="9"/>
  <c r="G1141" i="9"/>
  <c r="R1141" i="9"/>
  <c r="K1139" i="9"/>
  <c r="V1139" i="9"/>
  <c r="J1154" i="9"/>
  <c r="U1154" i="9"/>
  <c r="H1151" i="9"/>
  <c r="S1151" i="9"/>
  <c r="F1148" i="9"/>
  <c r="Q1148" i="9"/>
  <c r="N1144" i="9"/>
  <c r="Y1144" i="9"/>
  <c r="L1141" i="9"/>
  <c r="W1141" i="9"/>
  <c r="I1154" i="9"/>
  <c r="T1154" i="9"/>
  <c r="G1151" i="9"/>
  <c r="R1151" i="9"/>
  <c r="O1147" i="9"/>
  <c r="Z1147" i="9"/>
  <c r="M1144" i="9"/>
  <c r="X1144" i="9"/>
  <c r="K1141" i="9"/>
  <c r="V1141" i="9"/>
  <c r="O1140" i="9"/>
  <c r="Z1140" i="9"/>
  <c r="L1153" i="9"/>
  <c r="W1153" i="9"/>
  <c r="J1150" i="9"/>
  <c r="U1150" i="9"/>
  <c r="H1147" i="9"/>
  <c r="S1147" i="9"/>
  <c r="F1144" i="9"/>
  <c r="Q1144" i="9"/>
  <c r="N1140" i="9"/>
  <c r="Y1140" i="9"/>
  <c r="I1150" i="9"/>
  <c r="T1150" i="9"/>
  <c r="G1147" i="9"/>
  <c r="R1147" i="9"/>
  <c r="O1143" i="9"/>
  <c r="Z1143" i="9"/>
  <c r="M1140" i="9"/>
  <c r="X1140" i="9"/>
  <c r="G1140" i="9"/>
  <c r="R1140" i="9"/>
  <c r="N1152" i="9"/>
  <c r="Y1152" i="9"/>
  <c r="L1149" i="9"/>
  <c r="W1149" i="9"/>
  <c r="J1146" i="9"/>
  <c r="U1146" i="9"/>
  <c r="H1143" i="9"/>
  <c r="S1143" i="9"/>
  <c r="F1140" i="9"/>
  <c r="Q1140" i="9"/>
  <c r="M1152" i="9"/>
  <c r="X1152" i="9"/>
  <c r="K1149" i="9"/>
  <c r="V1149" i="9"/>
  <c r="I1146" i="9"/>
  <c r="T1146" i="9"/>
  <c r="G1143" i="9"/>
  <c r="R1143" i="9"/>
  <c r="O1139" i="9"/>
  <c r="Z1139" i="9"/>
  <c r="I1139" i="9"/>
  <c r="T1139" i="9"/>
  <c r="F1152" i="9"/>
  <c r="Q1152" i="9"/>
  <c r="N1148" i="9"/>
  <c r="Y1148" i="9"/>
  <c r="L1145" i="9"/>
  <c r="W1145" i="9"/>
  <c r="J1142" i="9"/>
  <c r="U1142" i="9"/>
  <c r="H1139" i="9"/>
  <c r="S1139" i="9"/>
  <c r="O1151" i="9"/>
  <c r="Z1151" i="9"/>
  <c r="M1148" i="9"/>
  <c r="X1148" i="9"/>
  <c r="K1145" i="9"/>
  <c r="V1145" i="9"/>
  <c r="I1142" i="9"/>
  <c r="T1142" i="9"/>
  <c r="K1153" i="9"/>
  <c r="V1153" i="9"/>
  <c r="N56" i="5"/>
  <c r="N90" i="5"/>
  <c r="N129" i="5"/>
  <c r="BA514" i="1"/>
  <c r="BA520" i="1"/>
  <c r="O65" i="5"/>
  <c r="O72" i="5"/>
  <c r="O66" i="5"/>
  <c r="O73" i="5"/>
  <c r="O62" i="5"/>
  <c r="O63" i="5"/>
  <c r="P16" i="5"/>
  <c r="P30" i="5"/>
  <c r="P33" i="5"/>
  <c r="P35" i="5"/>
  <c r="P28" i="5"/>
  <c r="O61" i="5"/>
  <c r="O60" i="5"/>
  <c r="P20" i="5"/>
  <c r="P17" i="5"/>
  <c r="P32" i="5"/>
  <c r="P36" i="5"/>
  <c r="P38" i="5"/>
  <c r="O68" i="5"/>
  <c r="O85" i="5"/>
  <c r="P14" i="5"/>
  <c r="P49" i="5"/>
  <c r="P24" i="5"/>
  <c r="P31" i="5"/>
  <c r="P34" i="5"/>
  <c r="BA376" i="1"/>
  <c r="F771" i="9" a="1"/>
  <c r="N88" i="5"/>
  <c r="L103" i="9"/>
  <c r="W103" i="9"/>
  <c r="O109" i="9"/>
  <c r="Z109" i="9"/>
  <c r="H112" i="9"/>
  <c r="S112" i="9"/>
  <c r="K100" i="9"/>
  <c r="V100" i="9"/>
  <c r="M106" i="9"/>
  <c r="X106" i="9"/>
  <c r="J107" i="9"/>
  <c r="U107" i="9"/>
  <c r="M105" i="9"/>
  <c r="X105" i="9"/>
  <c r="O101" i="9"/>
  <c r="Z101" i="9"/>
  <c r="M110" i="9"/>
  <c r="X110" i="9"/>
  <c r="O106" i="9"/>
  <c r="Z106" i="9"/>
  <c r="F103" i="9"/>
  <c r="Q103" i="9"/>
  <c r="J109" i="9"/>
  <c r="U109" i="9"/>
  <c r="M100" i="9"/>
  <c r="X100" i="9"/>
  <c r="G107" i="9"/>
  <c r="R107" i="9"/>
  <c r="K113" i="9"/>
  <c r="V113" i="9"/>
  <c r="H99" i="9"/>
  <c r="S99" i="9"/>
  <c r="F105" i="9"/>
  <c r="Q105" i="9"/>
  <c r="F113" i="9"/>
  <c r="Q113" i="9"/>
  <c r="O105" i="9"/>
  <c r="Z105" i="9"/>
  <c r="L100" i="9"/>
  <c r="W100" i="9"/>
  <c r="F107" i="9"/>
  <c r="Q107" i="9"/>
  <c r="J113" i="9"/>
  <c r="U113" i="9"/>
  <c r="M104" i="9"/>
  <c r="X104" i="9"/>
  <c r="G111" i="9"/>
  <c r="R111" i="9"/>
  <c r="N100" i="9"/>
  <c r="Y100" i="9"/>
  <c r="O108" i="9"/>
  <c r="Z108" i="9"/>
  <c r="I101" i="9"/>
  <c r="T101" i="9"/>
  <c r="J106" i="9"/>
  <c r="U106" i="9"/>
  <c r="L99" i="9"/>
  <c r="W99" i="9"/>
  <c r="H109" i="9"/>
  <c r="S109" i="9"/>
  <c r="K114" i="9"/>
  <c r="V114" i="9"/>
  <c r="O110" i="9"/>
  <c r="Z110" i="9"/>
  <c r="F102" i="9"/>
  <c r="Q102" i="9"/>
  <c r="N104" i="9"/>
  <c r="Y104" i="9"/>
  <c r="N110" i="9"/>
  <c r="Y110" i="9"/>
  <c r="K102" i="9"/>
  <c r="V102" i="9"/>
  <c r="M113" i="9"/>
  <c r="X113" i="9"/>
  <c r="H103" i="9"/>
  <c r="S103" i="9"/>
  <c r="O102" i="9"/>
  <c r="Z102" i="9"/>
  <c r="J104" i="9"/>
  <c r="U104" i="9"/>
  <c r="K103" i="9"/>
  <c r="V103" i="9"/>
  <c r="F109" i="9"/>
  <c r="Q109" i="9"/>
  <c r="F101" i="9"/>
  <c r="Q101" i="9"/>
  <c r="G99" i="9"/>
  <c r="R99" i="9"/>
  <c r="M114" i="9"/>
  <c r="X114" i="9"/>
  <c r="H100" i="9"/>
  <c r="S100" i="9"/>
  <c r="J102" i="9"/>
  <c r="U102" i="9"/>
  <c r="J101" i="9"/>
  <c r="U101" i="9"/>
  <c r="F111" i="9"/>
  <c r="Q111" i="9"/>
  <c r="O103" i="9"/>
  <c r="Z103" i="9"/>
  <c r="O111" i="9"/>
  <c r="Z111" i="9"/>
  <c r="F99" i="9"/>
  <c r="Q99" i="9"/>
  <c r="N109" i="9"/>
  <c r="Y109" i="9"/>
  <c r="I104" i="9"/>
  <c r="T104" i="9"/>
  <c r="H102" i="9"/>
  <c r="S102" i="9"/>
  <c r="H110" i="9"/>
  <c r="S110" i="9"/>
  <c r="G103" i="9"/>
  <c r="R103" i="9"/>
  <c r="M112" i="9"/>
  <c r="X112" i="9"/>
  <c r="H101" i="9"/>
  <c r="S101" i="9"/>
  <c r="I99" i="9"/>
  <c r="T99" i="9"/>
  <c r="N108" i="9"/>
  <c r="Y108" i="9"/>
  <c r="G102" i="9"/>
  <c r="R102" i="9"/>
  <c r="M109" i="9"/>
  <c r="X109" i="9"/>
  <c r="H107" i="9"/>
  <c r="S107" i="9"/>
  <c r="L107" i="9"/>
  <c r="W107" i="9"/>
  <c r="I113" i="9"/>
  <c r="T113" i="9"/>
  <c r="I111" i="9"/>
  <c r="T111" i="9"/>
  <c r="L109" i="9"/>
  <c r="W109" i="9"/>
  <c r="M99" i="9"/>
  <c r="X99" i="9"/>
  <c r="N112" i="9"/>
  <c r="Y112" i="9"/>
  <c r="F110" i="9"/>
  <c r="Q110" i="9"/>
  <c r="G113" i="9"/>
  <c r="R113" i="9"/>
  <c r="K111" i="9"/>
  <c r="V111" i="9"/>
  <c r="L101" i="9"/>
  <c r="W101" i="9"/>
  <c r="O113" i="9"/>
  <c r="Z113" i="9"/>
  <c r="L104" i="9"/>
  <c r="W104" i="9"/>
  <c r="H114" i="9"/>
  <c r="S114" i="9"/>
  <c r="I110" i="9"/>
  <c r="T110" i="9"/>
  <c r="N101" i="9"/>
  <c r="Y101" i="9"/>
  <c r="L114" i="9"/>
  <c r="W114" i="9"/>
  <c r="I112" i="9"/>
  <c r="T112" i="9"/>
  <c r="N111" i="9"/>
  <c r="Y111" i="9"/>
  <c r="O107" i="9"/>
  <c r="Z107" i="9"/>
  <c r="K104" i="9"/>
  <c r="V104" i="9"/>
  <c r="F100" i="9"/>
  <c r="Q100" i="9"/>
  <c r="I103" i="9"/>
  <c r="T103" i="9"/>
  <c r="F108" i="9"/>
  <c r="Q108" i="9"/>
  <c r="L113" i="9"/>
  <c r="W113" i="9"/>
  <c r="H105" i="9"/>
  <c r="S105" i="9"/>
  <c r="F104" i="9"/>
  <c r="Q104" i="9"/>
  <c r="J112" i="9"/>
  <c r="U112" i="9"/>
  <c r="H113" i="9"/>
  <c r="S113" i="9"/>
  <c r="N113" i="9"/>
  <c r="Y113" i="9"/>
  <c r="I108" i="9"/>
  <c r="T108" i="9"/>
  <c r="F106" i="9"/>
  <c r="Q106" i="9"/>
  <c r="L112" i="9"/>
  <c r="W112" i="9"/>
  <c r="K99" i="9"/>
  <c r="V99" i="9"/>
  <c r="L106" i="9"/>
  <c r="W106" i="9"/>
  <c r="G109" i="9"/>
  <c r="R109" i="9"/>
  <c r="O99" i="9"/>
  <c r="Z99" i="9"/>
  <c r="I114" i="9"/>
  <c r="T114" i="9"/>
  <c r="N102" i="9"/>
  <c r="Y102" i="9"/>
  <c r="H111" i="9"/>
  <c r="S111" i="9"/>
  <c r="L111" i="9"/>
  <c r="W111" i="9"/>
  <c r="F112" i="9"/>
  <c r="Q112" i="9"/>
  <c r="G108" i="9"/>
  <c r="R108" i="9"/>
  <c r="O100" i="9"/>
  <c r="Z100" i="9"/>
  <c r="J108" i="9"/>
  <c r="U108" i="9"/>
  <c r="I109" i="9"/>
  <c r="T109" i="9"/>
  <c r="L102" i="9"/>
  <c r="W102" i="9"/>
  <c r="H104" i="9"/>
  <c r="S104" i="9"/>
  <c r="N99" i="9"/>
  <c r="Y99" i="9"/>
  <c r="K105" i="9"/>
  <c r="V105" i="9"/>
  <c r="J103" i="9"/>
  <c r="U103" i="9"/>
  <c r="N103" i="9"/>
  <c r="Y103" i="9"/>
  <c r="I106" i="9"/>
  <c r="T106" i="9"/>
  <c r="G104" i="9"/>
  <c r="R104" i="9"/>
  <c r="F114" i="9"/>
  <c r="Q114" i="9"/>
  <c r="L105" i="9"/>
  <c r="W105" i="9"/>
  <c r="G106" i="9"/>
  <c r="R106" i="9"/>
  <c r="O112" i="9"/>
  <c r="Z112" i="9"/>
  <c r="J99" i="9"/>
  <c r="U99" i="9"/>
  <c r="M101" i="9"/>
  <c r="X101" i="9"/>
  <c r="H106" i="9"/>
  <c r="S106" i="9"/>
  <c r="G100" i="9"/>
  <c r="R100" i="9"/>
  <c r="K107" i="9"/>
  <c r="V107" i="9"/>
  <c r="K109" i="9"/>
  <c r="V109" i="9"/>
  <c r="K108" i="9"/>
  <c r="V108" i="9"/>
  <c r="N114" i="9"/>
  <c r="Y114" i="9"/>
  <c r="I107" i="9"/>
  <c r="T107" i="9"/>
  <c r="M103" i="9"/>
  <c r="X103" i="9"/>
  <c r="O104" i="9"/>
  <c r="Z104" i="9"/>
  <c r="I100" i="9"/>
  <c r="T100" i="9"/>
  <c r="J110" i="9"/>
  <c r="U110" i="9"/>
  <c r="M108" i="9"/>
  <c r="X108" i="9"/>
  <c r="G101" i="9"/>
  <c r="R101" i="9"/>
  <c r="K101" i="9"/>
  <c r="V101" i="9"/>
  <c r="G112" i="9"/>
  <c r="R112" i="9"/>
  <c r="M107" i="9"/>
  <c r="X107" i="9"/>
  <c r="J100" i="9"/>
  <c r="U100" i="9"/>
  <c r="H108" i="9"/>
  <c r="S108" i="9"/>
  <c r="O114" i="9"/>
  <c r="Z114" i="9"/>
  <c r="K106" i="9"/>
  <c r="V106" i="9"/>
  <c r="M111" i="9"/>
  <c r="X111" i="9"/>
  <c r="M102" i="9"/>
  <c r="X102" i="9"/>
  <c r="L110" i="9"/>
  <c r="W110" i="9"/>
  <c r="I102" i="9"/>
  <c r="T102" i="9"/>
  <c r="L108" i="9"/>
  <c r="W108" i="9"/>
  <c r="J114" i="9"/>
  <c r="U114" i="9"/>
  <c r="G110" i="9"/>
  <c r="R110" i="9"/>
  <c r="N106" i="9"/>
  <c r="Y106" i="9"/>
  <c r="N105" i="9"/>
  <c r="Y105" i="9"/>
  <c r="J111" i="9"/>
  <c r="U111" i="9"/>
  <c r="G105" i="9"/>
  <c r="R105" i="9"/>
  <c r="I105" i="9"/>
  <c r="T105" i="9"/>
  <c r="K110" i="9"/>
  <c r="V110" i="9"/>
  <c r="G114" i="9"/>
  <c r="R114" i="9"/>
  <c r="N107" i="9"/>
  <c r="Y107" i="9"/>
  <c r="K112" i="9"/>
  <c r="V112" i="9"/>
  <c r="J105" i="9"/>
  <c r="U105" i="9"/>
  <c r="BA344" i="1"/>
  <c r="F659" i="9" a="1"/>
  <c r="BA507" i="1"/>
  <c r="F1107" i="9" a="1"/>
  <c r="BA238" i="1"/>
  <c r="F499" i="9" a="1"/>
  <c r="BA476" i="1"/>
  <c r="F1011" i="9" a="1"/>
  <c r="BA472" i="1"/>
  <c r="F995" i="9" a="1"/>
  <c r="J81" i="9"/>
  <c r="U81" i="9"/>
  <c r="G82" i="9"/>
  <c r="R82" i="9"/>
  <c r="F74" i="9"/>
  <c r="Q74" i="9"/>
  <c r="I68" i="9"/>
  <c r="T68" i="9"/>
  <c r="I74" i="9"/>
  <c r="T74" i="9"/>
  <c r="I80" i="9"/>
  <c r="T80" i="9"/>
  <c r="K82" i="9"/>
  <c r="V82" i="9"/>
  <c r="I67" i="9"/>
  <c r="T67" i="9"/>
  <c r="H72" i="9"/>
  <c r="S72" i="9"/>
  <c r="H71" i="9"/>
  <c r="S71" i="9"/>
  <c r="G77" i="9"/>
  <c r="R77" i="9"/>
  <c r="H75" i="9"/>
  <c r="S75" i="9"/>
  <c r="K76" i="9"/>
  <c r="V76" i="9"/>
  <c r="H76" i="9"/>
  <c r="S76" i="9"/>
  <c r="H82" i="9"/>
  <c r="S82" i="9"/>
  <c r="M70" i="9"/>
  <c r="X70" i="9"/>
  <c r="J68" i="9"/>
  <c r="U68" i="9"/>
  <c r="M67" i="9"/>
  <c r="X67" i="9"/>
  <c r="G75" i="9"/>
  <c r="R75" i="9"/>
  <c r="F68" i="9"/>
  <c r="Q68" i="9"/>
  <c r="J80" i="9"/>
  <c r="U80" i="9"/>
  <c r="I75" i="9"/>
  <c r="T75" i="9"/>
  <c r="O77" i="9"/>
  <c r="Z77" i="9"/>
  <c r="H68" i="9"/>
  <c r="S68" i="9"/>
  <c r="H74" i="9"/>
  <c r="S74" i="9"/>
  <c r="H79" i="9"/>
  <c r="S79" i="9"/>
  <c r="H77" i="9"/>
  <c r="S77" i="9"/>
  <c r="F70" i="9"/>
  <c r="Q70" i="9"/>
  <c r="K74" i="9"/>
  <c r="V74" i="9"/>
  <c r="O71" i="9"/>
  <c r="Z71" i="9"/>
  <c r="F75" i="9"/>
  <c r="Q75" i="9"/>
  <c r="M76" i="9"/>
  <c r="X76" i="9"/>
  <c r="L67" i="9"/>
  <c r="W67" i="9"/>
  <c r="O69" i="9"/>
  <c r="Z69" i="9"/>
  <c r="O75" i="9"/>
  <c r="Z75" i="9"/>
  <c r="O81" i="9"/>
  <c r="Z81" i="9"/>
  <c r="I79" i="9"/>
  <c r="T79" i="9"/>
  <c r="F80" i="9"/>
  <c r="Q80" i="9"/>
  <c r="F69" i="9"/>
  <c r="Q69" i="9"/>
  <c r="G68" i="9"/>
  <c r="R68" i="9"/>
  <c r="G73" i="9"/>
  <c r="R73" i="9"/>
  <c r="L73" i="9"/>
  <c r="W73" i="9"/>
  <c r="J72" i="9"/>
  <c r="U72" i="9"/>
  <c r="M68" i="9"/>
  <c r="X68" i="9"/>
  <c r="F81" i="9"/>
  <c r="Q81" i="9"/>
  <c r="K75" i="9"/>
  <c r="V75" i="9"/>
  <c r="M73" i="9"/>
  <c r="X73" i="9"/>
  <c r="L68" i="9"/>
  <c r="W68" i="9"/>
  <c r="F78" i="9"/>
  <c r="Q78" i="9"/>
  <c r="L81" i="9"/>
  <c r="W81" i="9"/>
  <c r="F73" i="9"/>
  <c r="Q73" i="9"/>
  <c r="L69" i="9"/>
  <c r="W69" i="9"/>
  <c r="K80" i="9"/>
  <c r="V80" i="9"/>
  <c r="L82" i="9"/>
  <c r="W82" i="9"/>
  <c r="K70" i="9"/>
  <c r="V70" i="9"/>
  <c r="N73" i="9"/>
  <c r="Y73" i="9"/>
  <c r="J78" i="9"/>
  <c r="U78" i="9"/>
  <c r="L74" i="9"/>
  <c r="W74" i="9"/>
  <c r="F67" i="9"/>
  <c r="Q67" i="9"/>
  <c r="G74" i="9"/>
  <c r="R74" i="9"/>
  <c r="I78" i="9"/>
  <c r="T78" i="9"/>
  <c r="N71" i="9"/>
  <c r="Y71" i="9"/>
  <c r="I76" i="9"/>
  <c r="T76" i="9"/>
  <c r="L72" i="9"/>
  <c r="W72" i="9"/>
  <c r="H67" i="9"/>
  <c r="S67" i="9"/>
  <c r="L77" i="9"/>
  <c r="W77" i="9"/>
  <c r="N80" i="9"/>
  <c r="Y80" i="9"/>
  <c r="I69" i="9"/>
  <c r="T69" i="9"/>
  <c r="F72" i="9"/>
  <c r="Q72" i="9"/>
  <c r="G70" i="9"/>
  <c r="R70" i="9"/>
  <c r="N77" i="9"/>
  <c r="Y77" i="9"/>
  <c r="O67" i="9"/>
  <c r="Z67" i="9"/>
  <c r="I72" i="9"/>
  <c r="T72" i="9"/>
  <c r="L75" i="9"/>
  <c r="W75" i="9"/>
  <c r="G80" i="9"/>
  <c r="R80" i="9"/>
  <c r="G69" i="9"/>
  <c r="R69" i="9"/>
  <c r="G67" i="9"/>
  <c r="R67" i="9"/>
  <c r="J74" i="9"/>
  <c r="U74" i="9"/>
  <c r="G72" i="9"/>
  <c r="R72" i="9"/>
  <c r="K79" i="9"/>
  <c r="V79" i="9"/>
  <c r="N69" i="9"/>
  <c r="Y69" i="9"/>
  <c r="N75" i="9"/>
  <c r="Y75" i="9"/>
  <c r="F76" i="9"/>
  <c r="Q76" i="9"/>
  <c r="G78" i="9"/>
  <c r="R78" i="9"/>
  <c r="N78" i="9"/>
  <c r="Y78" i="9"/>
  <c r="M75" i="9"/>
  <c r="X75" i="9"/>
  <c r="H78" i="9"/>
  <c r="S78" i="9"/>
  <c r="J67" i="9"/>
  <c r="U67" i="9"/>
  <c r="I77" i="9"/>
  <c r="T77" i="9"/>
  <c r="K71" i="9"/>
  <c r="V71" i="9"/>
  <c r="K77" i="9"/>
  <c r="V77" i="9"/>
  <c r="N67" i="9"/>
  <c r="Y67" i="9"/>
  <c r="G76" i="9"/>
  <c r="R76" i="9"/>
  <c r="N76" i="9"/>
  <c r="Y76" i="9"/>
  <c r="M79" i="9"/>
  <c r="X79" i="9"/>
  <c r="O80" i="9"/>
  <c r="Z80" i="9"/>
  <c r="J73" i="9"/>
  <c r="U73" i="9"/>
  <c r="K81" i="9"/>
  <c r="V81" i="9"/>
  <c r="N68" i="9"/>
  <c r="Y68" i="9"/>
  <c r="L79" i="9"/>
  <c r="W79" i="9"/>
  <c r="J79" i="9"/>
  <c r="U79" i="9"/>
  <c r="K69" i="9"/>
  <c r="V69" i="9"/>
  <c r="O73" i="9"/>
  <c r="Z73" i="9"/>
  <c r="H69" i="9"/>
  <c r="S69" i="9"/>
  <c r="O76" i="9"/>
  <c r="Z76" i="9"/>
  <c r="N81" i="9"/>
  <c r="Y81" i="9"/>
  <c r="F77" i="9"/>
  <c r="Q77" i="9"/>
  <c r="N79" i="9"/>
  <c r="Y79" i="9"/>
  <c r="O68" i="9"/>
  <c r="Z68" i="9"/>
  <c r="G81" i="9"/>
  <c r="R81" i="9"/>
  <c r="J71" i="9"/>
  <c r="U71" i="9"/>
  <c r="J77" i="9"/>
  <c r="U77" i="9"/>
  <c r="N72" i="9"/>
  <c r="Y72" i="9"/>
  <c r="M71" i="9"/>
  <c r="X71" i="9"/>
  <c r="N70" i="9"/>
  <c r="Y70" i="9"/>
  <c r="L71" i="9"/>
  <c r="W71" i="9"/>
  <c r="M77" i="9"/>
  <c r="X77" i="9"/>
  <c r="K67" i="9"/>
  <c r="V67" i="9"/>
  <c r="O70" i="9"/>
  <c r="Z70" i="9"/>
  <c r="G79" i="9"/>
  <c r="R79" i="9"/>
  <c r="J69" i="9"/>
  <c r="U69" i="9"/>
  <c r="O72" i="9"/>
  <c r="Z72" i="9"/>
  <c r="I73" i="9"/>
  <c r="T73" i="9"/>
  <c r="L70" i="9"/>
  <c r="W70" i="9"/>
  <c r="H73" i="9"/>
  <c r="S73" i="9"/>
  <c r="G71" i="9"/>
  <c r="R71" i="9"/>
  <c r="O78" i="9"/>
  <c r="Z78" i="9"/>
  <c r="L78" i="9"/>
  <c r="W78" i="9"/>
  <c r="I71" i="9"/>
  <c r="T71" i="9"/>
  <c r="M82" i="9"/>
  <c r="X82" i="9"/>
  <c r="F79" i="9"/>
  <c r="Q79" i="9"/>
  <c r="H81" i="9"/>
  <c r="S81" i="9"/>
  <c r="I81" i="9"/>
  <c r="T81" i="9"/>
  <c r="I70" i="9"/>
  <c r="T70" i="9"/>
  <c r="L76" i="9"/>
  <c r="W76" i="9"/>
  <c r="M81" i="9"/>
  <c r="X81" i="9"/>
  <c r="M74" i="9"/>
  <c r="X74" i="9"/>
  <c r="M80" i="9"/>
  <c r="X80" i="9"/>
  <c r="F71" i="9"/>
  <c r="Q71" i="9"/>
  <c r="M69" i="9"/>
  <c r="X69" i="9"/>
  <c r="J70" i="9"/>
  <c r="U70" i="9"/>
  <c r="N82" i="9"/>
  <c r="Y82" i="9"/>
  <c r="K68" i="9"/>
  <c r="V68" i="9"/>
  <c r="H70" i="9"/>
  <c r="S70" i="9"/>
  <c r="H80" i="9"/>
  <c r="S80" i="9"/>
  <c r="F82" i="9"/>
  <c r="Q82" i="9"/>
  <c r="M72" i="9"/>
  <c r="X72" i="9"/>
  <c r="M78" i="9"/>
  <c r="X78" i="9"/>
  <c r="K72" i="9"/>
  <c r="V72" i="9"/>
  <c r="J75" i="9"/>
  <c r="U75" i="9"/>
  <c r="K73" i="9"/>
  <c r="V73" i="9"/>
  <c r="O82" i="9"/>
  <c r="Z82" i="9"/>
  <c r="L80" i="9"/>
  <c r="W80" i="9"/>
  <c r="N74" i="9"/>
  <c r="Y74" i="9"/>
  <c r="O79" i="9"/>
  <c r="Z79" i="9"/>
  <c r="O74" i="9"/>
  <c r="Z74" i="9"/>
  <c r="K78" i="9"/>
  <c r="V78" i="9"/>
  <c r="I82" i="9"/>
  <c r="T82" i="9"/>
  <c r="J82" i="9"/>
  <c r="U82" i="9"/>
  <c r="J76" i="9"/>
  <c r="U76" i="9"/>
  <c r="BA135" i="1"/>
  <c r="F211" i="9" a="1"/>
  <c r="BA149" i="1"/>
  <c r="F259" i="9" a="1"/>
  <c r="BA183" i="1"/>
  <c r="F371" i="9" a="1"/>
  <c r="BA210" i="1"/>
  <c r="F451" i="9" a="1"/>
  <c r="BA330" i="1"/>
  <c r="F611" i="9" a="1"/>
  <c r="BA399" i="1"/>
  <c r="F867" i="9" a="1"/>
  <c r="BA493" i="1"/>
  <c r="F1043" i="9" a="1"/>
  <c r="BA337" i="1"/>
  <c r="F627" i="9" a="1"/>
  <c r="BA70" i="1"/>
  <c r="F51" i="9" a="1"/>
  <c r="BA155" i="1"/>
  <c r="F275" i="9" a="1"/>
  <c r="BA120" i="1"/>
  <c r="F163" i="9" a="1"/>
  <c r="F403" i="9" a="1"/>
  <c r="BA370" i="1"/>
  <c r="F739" i="9" a="1"/>
  <c r="BA412" i="1"/>
  <c r="F355" i="9" a="1"/>
  <c r="BA217" i="1"/>
  <c r="F467" i="9" a="1"/>
  <c r="BA323" i="1"/>
  <c r="F595" i="9" a="1"/>
  <c r="BA340" i="1"/>
  <c r="F643" i="9" a="1"/>
  <c r="BA385" i="1"/>
  <c r="F803" i="9" a="1"/>
  <c r="BA409" i="1"/>
  <c r="F915" i="9" a="1"/>
  <c r="BA389" i="1"/>
  <c r="F819" i="9" a="1"/>
  <c r="O26" i="9"/>
  <c r="Z26" i="9"/>
  <c r="O28" i="9"/>
  <c r="Z28" i="9"/>
  <c r="F32" i="9"/>
  <c r="Q32" i="9"/>
  <c r="H19" i="9"/>
  <c r="S19" i="9"/>
  <c r="L23" i="9"/>
  <c r="W23" i="9"/>
  <c r="M30" i="9"/>
  <c r="X30" i="9"/>
  <c r="I24" i="9"/>
  <c r="T24" i="9"/>
  <c r="N33" i="9"/>
  <c r="Y33" i="9"/>
  <c r="J27" i="9"/>
  <c r="U27" i="9"/>
  <c r="F21" i="9"/>
  <c r="Q21" i="9"/>
  <c r="I25" i="9"/>
  <c r="T25" i="9"/>
  <c r="L33" i="9"/>
  <c r="W33" i="9"/>
  <c r="J28" i="9"/>
  <c r="U28" i="9"/>
  <c r="M26" i="9"/>
  <c r="X26" i="9"/>
  <c r="N29" i="9"/>
  <c r="Y29" i="9"/>
  <c r="O30" i="9"/>
  <c r="Z30" i="9"/>
  <c r="M29" i="9"/>
  <c r="X29" i="9"/>
  <c r="L29" i="9"/>
  <c r="W29" i="9"/>
  <c r="J24" i="9"/>
  <c r="U24" i="9"/>
  <c r="G23" i="9"/>
  <c r="R23" i="9"/>
  <c r="H26" i="9"/>
  <c r="S26" i="9"/>
  <c r="I29" i="9"/>
  <c r="T29" i="9"/>
  <c r="I31" i="9"/>
  <c r="T31" i="9"/>
  <c r="J34" i="9"/>
  <c r="U34" i="9"/>
  <c r="L21" i="9"/>
  <c r="W21" i="9"/>
  <c r="F26" i="9"/>
  <c r="Q26" i="9"/>
  <c r="O31" i="9"/>
  <c r="Z31" i="9"/>
  <c r="K25" i="9"/>
  <c r="V25" i="9"/>
  <c r="G19" i="9"/>
  <c r="R19" i="9"/>
  <c r="L28" i="9"/>
  <c r="W28" i="9"/>
  <c r="H22" i="9"/>
  <c r="S22" i="9"/>
  <c r="I27" i="9"/>
  <c r="T27" i="9"/>
  <c r="L31" i="9"/>
  <c r="W31" i="9"/>
  <c r="I28" i="9"/>
  <c r="T28" i="9"/>
  <c r="J31" i="9"/>
  <c r="U31" i="9"/>
  <c r="H20" i="9"/>
  <c r="S20" i="9"/>
  <c r="F34" i="9"/>
  <c r="Q34" i="9"/>
  <c r="G31" i="9"/>
  <c r="R31" i="9"/>
  <c r="H34" i="9"/>
  <c r="S34" i="9"/>
  <c r="J21" i="9"/>
  <c r="U21" i="9"/>
  <c r="M27" i="9"/>
  <c r="X27" i="9"/>
  <c r="F23" i="9"/>
  <c r="Q23" i="9"/>
  <c r="G28" i="9"/>
  <c r="R28" i="9"/>
  <c r="N22" i="9"/>
  <c r="Y22" i="9"/>
  <c r="O23" i="9"/>
  <c r="Z23" i="9"/>
  <c r="L20" i="9"/>
  <c r="W20" i="9"/>
  <c r="H25" i="9"/>
  <c r="S25" i="9"/>
  <c r="H28" i="9"/>
  <c r="S28" i="9"/>
  <c r="L27" i="9"/>
  <c r="W27" i="9"/>
  <c r="F31" i="9"/>
  <c r="Q31" i="9"/>
  <c r="K27" i="9"/>
  <c r="V27" i="9"/>
  <c r="O34" i="9"/>
  <c r="Z34" i="9"/>
  <c r="F24" i="9"/>
  <c r="Q24" i="9"/>
  <c r="I20" i="9"/>
  <c r="T20" i="9"/>
  <c r="I23" i="9"/>
  <c r="T23" i="9"/>
  <c r="K29" i="9"/>
  <c r="V29" i="9"/>
  <c r="N19" i="9"/>
  <c r="Y19" i="9"/>
  <c r="O24" i="9"/>
  <c r="Z24" i="9"/>
  <c r="J32" i="9"/>
  <c r="U32" i="9"/>
  <c r="M28" i="9"/>
  <c r="X28" i="9"/>
  <c r="N31" i="9"/>
  <c r="Y31" i="9"/>
  <c r="M31" i="9"/>
  <c r="X31" i="9"/>
  <c r="M34" i="9"/>
  <c r="X34" i="9"/>
  <c r="F25" i="9"/>
  <c r="Q25" i="9"/>
  <c r="H21" i="9"/>
  <c r="S21" i="9"/>
  <c r="N27" i="9"/>
  <c r="Y27" i="9"/>
  <c r="G30" i="9"/>
  <c r="R30" i="9"/>
  <c r="G32" i="9"/>
  <c r="R32" i="9"/>
  <c r="I19" i="9"/>
  <c r="T19" i="9"/>
  <c r="J22" i="9"/>
  <c r="U22" i="9"/>
  <c r="N26" i="9"/>
  <c r="Y26" i="9"/>
  <c r="I32" i="9"/>
  <c r="T32" i="9"/>
  <c r="O25" i="9"/>
  <c r="Z25" i="9"/>
  <c r="K19" i="9"/>
  <c r="V19" i="9"/>
  <c r="F29" i="9"/>
  <c r="Q29" i="9"/>
  <c r="L22" i="9"/>
  <c r="W22" i="9"/>
  <c r="K28" i="9"/>
  <c r="V28" i="9"/>
  <c r="G24" i="9"/>
  <c r="R24" i="9"/>
  <c r="N34" i="9"/>
  <c r="Y34" i="9"/>
  <c r="O29" i="9"/>
  <c r="Z29" i="9"/>
  <c r="F33" i="9"/>
  <c r="Q33" i="9"/>
  <c r="G34" i="9"/>
  <c r="R34" i="9"/>
  <c r="O32" i="9"/>
  <c r="Z32" i="9"/>
  <c r="N32" i="9"/>
  <c r="Y32" i="9"/>
  <c r="N30" i="9"/>
  <c r="Y30" i="9"/>
  <c r="I26" i="9"/>
  <c r="T26" i="9"/>
  <c r="J29" i="9"/>
  <c r="U29" i="9"/>
  <c r="K32" i="9"/>
  <c r="V32" i="9"/>
  <c r="K34" i="9"/>
  <c r="V34" i="9"/>
  <c r="M21" i="9"/>
  <c r="X21" i="9"/>
  <c r="N24" i="9"/>
  <c r="Y24" i="9"/>
  <c r="H29" i="9"/>
  <c r="S29" i="9"/>
  <c r="K33" i="9"/>
  <c r="V33" i="9"/>
  <c r="G27" i="9"/>
  <c r="R27" i="9"/>
  <c r="M20" i="9"/>
  <c r="X20" i="9"/>
  <c r="H30" i="9"/>
  <c r="S30" i="9"/>
  <c r="N23" i="9"/>
  <c r="Y23" i="9"/>
  <c r="M33" i="9"/>
  <c r="X33" i="9"/>
  <c r="N20" i="9"/>
  <c r="Y20" i="9"/>
  <c r="K31" i="9"/>
  <c r="V31" i="9"/>
  <c r="L34" i="9"/>
  <c r="W34" i="9"/>
  <c r="N21" i="9"/>
  <c r="Y21" i="9"/>
  <c r="H23" i="9"/>
  <c r="S23" i="9"/>
  <c r="I34" i="9"/>
  <c r="T34" i="9"/>
  <c r="K21" i="9"/>
  <c r="V21" i="9"/>
  <c r="L24" i="9"/>
  <c r="W24" i="9"/>
  <c r="F19" i="9"/>
  <c r="Q19" i="9"/>
  <c r="M23" i="9"/>
  <c r="X23" i="9"/>
  <c r="M25" i="9"/>
  <c r="X25" i="9"/>
  <c r="N28" i="9"/>
  <c r="Y28" i="9"/>
  <c r="H33" i="9"/>
  <c r="S33" i="9"/>
  <c r="J20" i="9"/>
  <c r="U20" i="9"/>
  <c r="G29" i="9"/>
  <c r="R29" i="9"/>
  <c r="M22" i="9"/>
  <c r="X22" i="9"/>
  <c r="H32" i="9"/>
  <c r="S32" i="9"/>
  <c r="N25" i="9"/>
  <c r="Y25" i="9"/>
  <c r="J19" i="9"/>
  <c r="U19" i="9"/>
  <c r="G22" i="9"/>
  <c r="R22" i="9"/>
  <c r="J30" i="9"/>
  <c r="U30" i="9"/>
  <c r="F22" i="9"/>
  <c r="Q22" i="9"/>
  <c r="K23" i="9"/>
  <c r="V23" i="9"/>
  <c r="L26" i="9"/>
  <c r="W26" i="9"/>
  <c r="K26" i="9"/>
  <c r="V26" i="9"/>
  <c r="J26" i="9"/>
  <c r="U26" i="9"/>
  <c r="M32" i="9"/>
  <c r="X32" i="9"/>
  <c r="O19" i="9"/>
  <c r="Z19" i="9"/>
  <c r="G26" i="9"/>
  <c r="R26" i="9"/>
  <c r="H31" i="9"/>
  <c r="S31" i="9"/>
  <c r="K20" i="9"/>
  <c r="V20" i="9"/>
  <c r="I30" i="9"/>
  <c r="T30" i="9"/>
  <c r="J33" i="9"/>
  <c r="U33" i="9"/>
  <c r="F27" i="9"/>
  <c r="Q27" i="9"/>
  <c r="O20" i="9"/>
  <c r="Z20" i="9"/>
  <c r="G25" i="9"/>
  <c r="R25" i="9"/>
  <c r="I21" i="9"/>
  <c r="T21" i="9"/>
  <c r="O27" i="9"/>
  <c r="Z27" i="9"/>
  <c r="I33" i="9"/>
  <c r="T33" i="9"/>
  <c r="M19" i="9"/>
  <c r="X19" i="9"/>
  <c r="K22" i="9"/>
  <c r="V22" i="9"/>
  <c r="L25" i="9"/>
  <c r="W25" i="9"/>
  <c r="F30" i="9"/>
  <c r="Q30" i="9"/>
  <c r="O33" i="9"/>
  <c r="Z33" i="9"/>
  <c r="G21" i="9"/>
  <c r="R21" i="9"/>
  <c r="L30" i="9"/>
  <c r="W30" i="9"/>
  <c r="H24" i="9"/>
  <c r="S24" i="9"/>
  <c r="K30" i="9"/>
  <c r="V30" i="9"/>
  <c r="G33" i="9"/>
  <c r="R33" i="9"/>
  <c r="J23" i="9"/>
  <c r="U23" i="9"/>
  <c r="K24" i="9"/>
  <c r="V24" i="9"/>
  <c r="F20" i="9"/>
  <c r="Q20" i="9"/>
  <c r="L32" i="9"/>
  <c r="W32" i="9"/>
  <c r="O22" i="9"/>
  <c r="Z22" i="9"/>
  <c r="F28" i="9"/>
  <c r="Q28" i="9"/>
  <c r="L19" i="9"/>
  <c r="W19" i="9"/>
  <c r="I22" i="9"/>
  <c r="T22" i="9"/>
  <c r="J25" i="9"/>
  <c r="U25" i="9"/>
  <c r="H27" i="9"/>
  <c r="S27" i="9"/>
  <c r="O21" i="9"/>
  <c r="Z21" i="9"/>
  <c r="G20" i="9"/>
  <c r="R20" i="9"/>
  <c r="M24" i="9"/>
  <c r="X24" i="9"/>
  <c r="BA160" i="1"/>
  <c r="F291" i="9" a="1"/>
  <c r="BA362" i="1"/>
  <c r="F707" i="9" a="1"/>
  <c r="BA131" i="1"/>
  <c r="F195" i="9" a="1"/>
  <c r="BA433" i="1"/>
  <c r="F947" i="9" a="1"/>
  <c r="BA417" i="1"/>
  <c r="F931" i="9" a="1"/>
  <c r="BA177" i="1"/>
  <c r="F339" i="9" a="1"/>
  <c r="BA198" i="1"/>
  <c r="F419" i="9" a="1"/>
  <c r="BA244" i="1"/>
  <c r="F531" i="9" a="1"/>
  <c r="BA366" i="1"/>
  <c r="F723" i="9" a="1"/>
  <c r="BA483" i="1"/>
  <c r="F1027" i="9" a="1"/>
  <c r="M50" i="9"/>
  <c r="X50" i="9"/>
  <c r="K48" i="9"/>
  <c r="V48" i="9"/>
  <c r="K40" i="9"/>
  <c r="V40" i="9"/>
  <c r="K35" i="9"/>
  <c r="V35" i="9"/>
  <c r="L44" i="9"/>
  <c r="W44" i="9"/>
  <c r="O46" i="9"/>
  <c r="Z46" i="9"/>
  <c r="N40" i="9"/>
  <c r="Y40" i="9"/>
  <c r="K41" i="9"/>
  <c r="V41" i="9"/>
  <c r="M42" i="9"/>
  <c r="X42" i="9"/>
  <c r="F37" i="9"/>
  <c r="Q37" i="9"/>
  <c r="F44" i="9"/>
  <c r="Q44" i="9"/>
  <c r="F42" i="9"/>
  <c r="Q42" i="9"/>
  <c r="H43" i="9"/>
  <c r="S43" i="9"/>
  <c r="M48" i="9"/>
  <c r="X48" i="9"/>
  <c r="N42" i="9"/>
  <c r="Y42" i="9"/>
  <c r="O47" i="9"/>
  <c r="Z47" i="9"/>
  <c r="G49" i="9"/>
  <c r="R49" i="9"/>
  <c r="O44" i="9"/>
  <c r="Z44" i="9"/>
  <c r="K38" i="9"/>
  <c r="V38" i="9"/>
  <c r="I49" i="9"/>
  <c r="T49" i="9"/>
  <c r="O42" i="9"/>
  <c r="Z42" i="9"/>
  <c r="K36" i="9"/>
  <c r="V36" i="9"/>
  <c r="I47" i="9"/>
  <c r="T47" i="9"/>
  <c r="O40" i="9"/>
  <c r="Z40" i="9"/>
  <c r="J41" i="9"/>
  <c r="U41" i="9"/>
  <c r="L35" i="9"/>
  <c r="W35" i="9"/>
  <c r="N36" i="9"/>
  <c r="Y36" i="9"/>
  <c r="F38" i="9"/>
  <c r="Q38" i="9"/>
  <c r="H38" i="9"/>
  <c r="S38" i="9"/>
  <c r="H46" i="9"/>
  <c r="S46" i="9"/>
  <c r="H49" i="9"/>
  <c r="S49" i="9"/>
  <c r="L42" i="9"/>
  <c r="W42" i="9"/>
  <c r="H35" i="9"/>
  <c r="S35" i="9"/>
  <c r="N43" i="9"/>
  <c r="Y43" i="9"/>
  <c r="O41" i="9"/>
  <c r="Z41" i="9"/>
  <c r="L47" i="9"/>
  <c r="W47" i="9"/>
  <c r="N47" i="9"/>
  <c r="Y47" i="9"/>
  <c r="N41" i="9"/>
  <c r="Y41" i="9"/>
  <c r="N38" i="9"/>
  <c r="Y38" i="9"/>
  <c r="J47" i="9"/>
  <c r="U47" i="9"/>
  <c r="F40" i="9"/>
  <c r="Q40" i="9"/>
  <c r="L48" i="9"/>
  <c r="W48" i="9"/>
  <c r="M35" i="9"/>
  <c r="X35" i="9"/>
  <c r="F36" i="9"/>
  <c r="Q36" i="9"/>
  <c r="N45" i="9"/>
  <c r="Y45" i="9"/>
  <c r="O50" i="9"/>
  <c r="Z50" i="9"/>
  <c r="L45" i="9"/>
  <c r="W45" i="9"/>
  <c r="I46" i="9"/>
  <c r="T46" i="9"/>
  <c r="F43" i="9"/>
  <c r="Q43" i="9"/>
  <c r="J50" i="9"/>
  <c r="U50" i="9"/>
  <c r="I36" i="9"/>
  <c r="T36" i="9"/>
  <c r="G48" i="9"/>
  <c r="R48" i="9"/>
  <c r="G40" i="9"/>
  <c r="R40" i="9"/>
  <c r="G46" i="9"/>
  <c r="R46" i="9"/>
  <c r="G38" i="9"/>
  <c r="R38" i="9"/>
  <c r="G44" i="9"/>
  <c r="R44" i="9"/>
  <c r="G36" i="9"/>
  <c r="R36" i="9"/>
  <c r="G45" i="9"/>
  <c r="R45" i="9"/>
  <c r="J35" i="9"/>
  <c r="U35" i="9"/>
  <c r="J48" i="9"/>
  <c r="U48" i="9"/>
  <c r="H47" i="9"/>
  <c r="S47" i="9"/>
  <c r="J42" i="9"/>
  <c r="U42" i="9"/>
  <c r="M40" i="9"/>
  <c r="X40" i="9"/>
  <c r="J40" i="9"/>
  <c r="U40" i="9"/>
  <c r="J37" i="9"/>
  <c r="U37" i="9"/>
  <c r="F48" i="9"/>
  <c r="Q48" i="9"/>
  <c r="J49" i="9"/>
  <c r="U49" i="9"/>
  <c r="H39" i="9"/>
  <c r="S39" i="9"/>
  <c r="K37" i="9"/>
  <c r="V37" i="9"/>
  <c r="F41" i="9"/>
  <c r="Q41" i="9"/>
  <c r="N35" i="9"/>
  <c r="Y35" i="9"/>
  <c r="J46" i="9"/>
  <c r="U46" i="9"/>
  <c r="I45" i="9"/>
  <c r="T45" i="9"/>
  <c r="J44" i="9"/>
  <c r="U44" i="9"/>
  <c r="F50" i="9"/>
  <c r="Q50" i="9"/>
  <c r="K45" i="9"/>
  <c r="V45" i="9"/>
  <c r="N37" i="9"/>
  <c r="Y37" i="9"/>
  <c r="H40" i="9"/>
  <c r="S40" i="9"/>
  <c r="J39" i="9"/>
  <c r="U39" i="9"/>
  <c r="M49" i="9"/>
  <c r="X49" i="9"/>
  <c r="O36" i="9"/>
  <c r="Z36" i="9"/>
  <c r="M39" i="9"/>
  <c r="X39" i="9"/>
  <c r="K50" i="9"/>
  <c r="V50" i="9"/>
  <c r="I39" i="9"/>
  <c r="T39" i="9"/>
  <c r="O43" i="9"/>
  <c r="Z43" i="9"/>
  <c r="J45" i="9"/>
  <c r="U45" i="9"/>
  <c r="I42" i="9"/>
  <c r="T42" i="9"/>
  <c r="L36" i="9"/>
  <c r="W36" i="9"/>
  <c r="I38" i="9"/>
  <c r="T38" i="9"/>
  <c r="K39" i="9"/>
  <c r="V39" i="9"/>
  <c r="K43" i="9"/>
  <c r="V43" i="9"/>
  <c r="I50" i="9"/>
  <c r="T50" i="9"/>
  <c r="K49" i="9"/>
  <c r="V49" i="9"/>
  <c r="M43" i="9"/>
  <c r="X43" i="9"/>
  <c r="O35" i="9"/>
  <c r="Z35" i="9"/>
  <c r="J38" i="9"/>
  <c r="U38" i="9"/>
  <c r="L39" i="9"/>
  <c r="W39" i="9"/>
  <c r="K47" i="9"/>
  <c r="V47" i="9"/>
  <c r="L43" i="9"/>
  <c r="W43" i="9"/>
  <c r="I43" i="9"/>
  <c r="T43" i="9"/>
  <c r="M45" i="9"/>
  <c r="X45" i="9"/>
  <c r="O39" i="9"/>
  <c r="Z39" i="9"/>
  <c r="N39" i="9"/>
  <c r="Y39" i="9"/>
  <c r="J36" i="9"/>
  <c r="U36" i="9"/>
  <c r="N46" i="9"/>
  <c r="Y46" i="9"/>
  <c r="H50" i="9"/>
  <c r="S50" i="9"/>
  <c r="G39" i="9"/>
  <c r="R39" i="9"/>
  <c r="I48" i="9"/>
  <c r="T48" i="9"/>
  <c r="H45" i="9"/>
  <c r="S45" i="9"/>
  <c r="G50" i="9"/>
  <c r="R50" i="9"/>
  <c r="G42" i="9"/>
  <c r="R42" i="9"/>
  <c r="F47" i="9"/>
  <c r="Q47" i="9"/>
  <c r="L50" i="9"/>
  <c r="W50" i="9"/>
  <c r="G35" i="9"/>
  <c r="R35" i="9"/>
  <c r="M41" i="9"/>
  <c r="X41" i="9"/>
  <c r="K44" i="9"/>
  <c r="V44" i="9"/>
  <c r="O48" i="9"/>
  <c r="Z48" i="9"/>
  <c r="H41" i="9"/>
  <c r="S41" i="9"/>
  <c r="G41" i="9"/>
  <c r="R41" i="9"/>
  <c r="F45" i="9"/>
  <c r="Q45" i="9"/>
  <c r="L41" i="9"/>
  <c r="W41" i="9"/>
  <c r="F46" i="9"/>
  <c r="Q46" i="9"/>
  <c r="H42" i="9"/>
  <c r="S42" i="9"/>
  <c r="H37" i="9"/>
  <c r="S37" i="9"/>
  <c r="H48" i="9"/>
  <c r="S48" i="9"/>
  <c r="N48" i="9"/>
  <c r="Y48" i="9"/>
  <c r="K46" i="9"/>
  <c r="V46" i="9"/>
  <c r="M47" i="9"/>
  <c r="X47" i="9"/>
  <c r="H44" i="9"/>
  <c r="S44" i="9"/>
  <c r="M46" i="9"/>
  <c r="X46" i="9"/>
  <c r="F49" i="9"/>
  <c r="Q49" i="9"/>
  <c r="M38" i="9"/>
  <c r="X38" i="9"/>
  <c r="O37" i="9"/>
  <c r="Z37" i="9"/>
  <c r="F39" i="9"/>
  <c r="Q39" i="9"/>
  <c r="H36" i="9"/>
  <c r="S36" i="9"/>
  <c r="G37" i="9"/>
  <c r="R37" i="9"/>
  <c r="N44" i="9"/>
  <c r="Y44" i="9"/>
  <c r="O49" i="9"/>
  <c r="Z49" i="9"/>
  <c r="N50" i="9"/>
  <c r="Y50" i="9"/>
  <c r="G43" i="9"/>
  <c r="R43" i="9"/>
  <c r="L38" i="9"/>
  <c r="W38" i="9"/>
  <c r="I35" i="9"/>
  <c r="T35" i="9"/>
  <c r="K42" i="9"/>
  <c r="V42" i="9"/>
  <c r="L49" i="9"/>
  <c r="W49" i="9"/>
  <c r="J43" i="9"/>
  <c r="U43" i="9"/>
  <c r="I44" i="9"/>
  <c r="T44" i="9"/>
  <c r="G47" i="9"/>
  <c r="R47" i="9"/>
  <c r="I40" i="9"/>
  <c r="T40" i="9"/>
  <c r="M37" i="9"/>
  <c r="X37" i="9"/>
  <c r="M44" i="9"/>
  <c r="X44" i="9"/>
  <c r="F35" i="9"/>
  <c r="Q35" i="9"/>
  <c r="I37" i="9"/>
  <c r="T37" i="9"/>
  <c r="I41" i="9"/>
  <c r="T41" i="9"/>
  <c r="M36" i="9"/>
  <c r="X36" i="9"/>
  <c r="O38" i="9"/>
  <c r="Z38" i="9"/>
  <c r="L40" i="9"/>
  <c r="W40" i="9"/>
  <c r="O45" i="9"/>
  <c r="Z45" i="9"/>
  <c r="N49" i="9"/>
  <c r="Y49" i="9"/>
  <c r="L37" i="9"/>
  <c r="W37" i="9"/>
  <c r="L46" i="9"/>
  <c r="W46" i="9"/>
  <c r="BA372" i="1"/>
  <c r="F755" i="9" a="1"/>
  <c r="BA468" i="1"/>
  <c r="F979" i="9" a="1"/>
  <c r="BA496" i="1"/>
  <c r="F1059" i="9" a="1"/>
  <c r="BA360" i="1"/>
  <c r="F691" i="9" a="1"/>
  <c r="BA172" i="1"/>
  <c r="F323" i="9" a="1"/>
  <c r="BA242" i="1"/>
  <c r="F515" i="9" a="1"/>
  <c r="F1075" i="9"/>
  <c r="Q1075" i="9"/>
  <c r="M1076" i="9"/>
  <c r="X1076" i="9"/>
  <c r="N1078" i="9"/>
  <c r="Y1078" i="9"/>
  <c r="O1080" i="9"/>
  <c r="Z1080" i="9"/>
  <c r="G1083" i="9"/>
  <c r="R1083" i="9"/>
  <c r="H1085" i="9"/>
  <c r="S1085" i="9"/>
  <c r="K1075" i="9"/>
  <c r="V1075" i="9"/>
  <c r="J1078" i="9"/>
  <c r="U1078" i="9"/>
  <c r="H1081" i="9"/>
  <c r="S1081" i="9"/>
  <c r="F1084" i="9"/>
  <c r="Q1084" i="9"/>
  <c r="O1086" i="9"/>
  <c r="Z1086" i="9"/>
  <c r="G1089" i="9"/>
  <c r="R1089" i="9"/>
  <c r="M1075" i="9"/>
  <c r="X1075" i="9"/>
  <c r="K1078" i="9"/>
  <c r="V1078" i="9"/>
  <c r="I1081" i="9"/>
  <c r="T1081" i="9"/>
  <c r="I1084" i="9"/>
  <c r="T1084" i="9"/>
  <c r="G1087" i="9"/>
  <c r="R1087" i="9"/>
  <c r="H1089" i="9"/>
  <c r="S1089" i="9"/>
  <c r="H1075" i="9"/>
  <c r="S1075" i="9"/>
  <c r="N1080" i="9"/>
  <c r="Y1080" i="9"/>
  <c r="K1086" i="9"/>
  <c r="V1086" i="9"/>
  <c r="O1090" i="9"/>
  <c r="Z1090" i="9"/>
  <c r="L1079" i="9"/>
  <c r="W1079" i="9"/>
  <c r="I1085" i="9"/>
  <c r="T1085" i="9"/>
  <c r="F1090" i="9"/>
  <c r="Q1090" i="9"/>
  <c r="O1085" i="9"/>
  <c r="Z1085" i="9"/>
  <c r="I1080" i="9"/>
  <c r="T1080" i="9"/>
  <c r="K1090" i="9"/>
  <c r="V1090" i="9"/>
  <c r="F1076" i="9"/>
  <c r="Q1076" i="9"/>
  <c r="I1089" i="9"/>
  <c r="T1089" i="9"/>
  <c r="K1084" i="9"/>
  <c r="V1084" i="9"/>
  <c r="J1085" i="9"/>
  <c r="U1085" i="9"/>
  <c r="L1075" i="9"/>
  <c r="W1075" i="9"/>
  <c r="I1078" i="9"/>
  <c r="T1078" i="9"/>
  <c r="K1081" i="9"/>
  <c r="V1081" i="9"/>
  <c r="G1084" i="9"/>
  <c r="R1084" i="9"/>
  <c r="N1086" i="9"/>
  <c r="Y1086" i="9"/>
  <c r="G1079" i="9"/>
  <c r="R1079" i="9"/>
  <c r="M1082" i="9"/>
  <c r="X1082" i="9"/>
  <c r="G1086" i="9"/>
  <c r="R1086" i="9"/>
  <c r="L1089" i="9"/>
  <c r="W1089" i="9"/>
  <c r="G1077" i="9"/>
  <c r="R1077" i="9"/>
  <c r="M1080" i="9"/>
  <c r="X1080" i="9"/>
  <c r="O1084" i="9"/>
  <c r="Z1084" i="9"/>
  <c r="G1088" i="9"/>
  <c r="R1088" i="9"/>
  <c r="N1090" i="9"/>
  <c r="Y1090" i="9"/>
  <c r="I1082" i="9"/>
  <c r="T1082" i="9"/>
  <c r="N1088" i="9"/>
  <c r="Y1088" i="9"/>
  <c r="G1078" i="9"/>
  <c r="R1078" i="9"/>
  <c r="M1086" i="9"/>
  <c r="X1086" i="9"/>
  <c r="G1080" i="9"/>
  <c r="R1080" i="9"/>
  <c r="K1077" i="9"/>
  <c r="V1077" i="9"/>
  <c r="O1075" i="9"/>
  <c r="Z1075" i="9"/>
  <c r="I1087" i="9"/>
  <c r="T1087" i="9"/>
  <c r="J1084" i="9"/>
  <c r="U1084" i="9"/>
  <c r="N1083" i="9"/>
  <c r="Y1083" i="9"/>
  <c r="J1077" i="9"/>
  <c r="U1077" i="9"/>
  <c r="L1086" i="9"/>
  <c r="W1086" i="9"/>
  <c r="H1080" i="9"/>
  <c r="S1080" i="9"/>
  <c r="N1087" i="9"/>
  <c r="Y1087" i="9"/>
  <c r="H1086" i="9"/>
  <c r="S1086" i="9"/>
  <c r="H1084" i="9"/>
  <c r="S1084" i="9"/>
  <c r="F1083" i="9"/>
  <c r="Q1083" i="9"/>
  <c r="J1079" i="9"/>
  <c r="U1079" i="9"/>
  <c r="G1076" i="9"/>
  <c r="R1076" i="9"/>
  <c r="O1079" i="9"/>
  <c r="Z1079" i="9"/>
  <c r="L1083" i="9"/>
  <c r="W1083" i="9"/>
  <c r="I1076" i="9"/>
  <c r="T1076" i="9"/>
  <c r="K1080" i="9"/>
  <c r="V1080" i="9"/>
  <c r="K1085" i="9"/>
  <c r="V1085" i="9"/>
  <c r="G1090" i="9"/>
  <c r="R1090" i="9"/>
  <c r="H1079" i="9"/>
  <c r="S1079" i="9"/>
  <c r="K1083" i="9"/>
  <c r="V1083" i="9"/>
  <c r="M1088" i="9"/>
  <c r="X1088" i="9"/>
  <c r="F1078" i="9"/>
  <c r="Q1078" i="9"/>
  <c r="M1087" i="9"/>
  <c r="X1087" i="9"/>
  <c r="G1081" i="9"/>
  <c r="R1081" i="9"/>
  <c r="O1088" i="9"/>
  <c r="Z1088" i="9"/>
  <c r="J1090" i="9"/>
  <c r="U1090" i="9"/>
  <c r="L1081" i="9"/>
  <c r="W1081" i="9"/>
  <c r="O1078" i="9"/>
  <c r="Z1078" i="9"/>
  <c r="F1087" i="9"/>
  <c r="Q1087" i="9"/>
  <c r="N1075" i="9"/>
  <c r="Y1075" i="9"/>
  <c r="J1083" i="9"/>
  <c r="U1083" i="9"/>
  <c r="J1075" i="9"/>
  <c r="U1075" i="9"/>
  <c r="L1076" i="9"/>
  <c r="W1076" i="9"/>
  <c r="N1077" i="9"/>
  <c r="Y1077" i="9"/>
  <c r="L1082" i="9"/>
  <c r="W1082" i="9"/>
  <c r="I1079" i="9"/>
  <c r="T1079" i="9"/>
  <c r="M1084" i="9"/>
  <c r="X1084" i="9"/>
  <c r="L1077" i="9"/>
  <c r="W1077" i="9"/>
  <c r="N1084" i="9"/>
  <c r="Y1084" i="9"/>
  <c r="M1090" i="9"/>
  <c r="X1090" i="9"/>
  <c r="G1082" i="9"/>
  <c r="R1082" i="9"/>
  <c r="L1087" i="9"/>
  <c r="W1087" i="9"/>
  <c r="K1079" i="9"/>
  <c r="V1079" i="9"/>
  <c r="I1075" i="9"/>
  <c r="T1075" i="9"/>
  <c r="O1087" i="9"/>
  <c r="Z1087" i="9"/>
  <c r="H1083" i="9"/>
  <c r="S1083" i="9"/>
  <c r="M1081" i="9"/>
  <c r="X1081" i="9"/>
  <c r="L1088" i="9"/>
  <c r="W1088" i="9"/>
  <c r="N1089" i="9"/>
  <c r="Y1089" i="9"/>
  <c r="L1078" i="9"/>
  <c r="W1078" i="9"/>
  <c r="H1078" i="9"/>
  <c r="S1078" i="9"/>
  <c r="J1089" i="9"/>
  <c r="U1089" i="9"/>
  <c r="H1076" i="9"/>
  <c r="S1076" i="9"/>
  <c r="J1080" i="9"/>
  <c r="U1080" i="9"/>
  <c r="I1086" i="9"/>
  <c r="T1086" i="9"/>
  <c r="I1083" i="9"/>
  <c r="T1083" i="9"/>
  <c r="J1076" i="9"/>
  <c r="U1076" i="9"/>
  <c r="L1085" i="9"/>
  <c r="W1085" i="9"/>
  <c r="K1076" i="9"/>
  <c r="V1076" i="9"/>
  <c r="N1076" i="9"/>
  <c r="Y1076" i="9"/>
  <c r="O1082" i="9"/>
  <c r="Z1082" i="9"/>
  <c r="H1087" i="9"/>
  <c r="S1087" i="9"/>
  <c r="H1082" i="9"/>
  <c r="S1082" i="9"/>
  <c r="F1085" i="9"/>
  <c r="Q1085" i="9"/>
  <c r="J1081" i="9"/>
  <c r="U1081" i="9"/>
  <c r="N1079" i="9"/>
  <c r="Y1079" i="9"/>
  <c r="G1075" i="9"/>
  <c r="R1075" i="9"/>
  <c r="F1082" i="9"/>
  <c r="Q1082" i="9"/>
  <c r="O1076" i="9"/>
  <c r="Z1076" i="9"/>
  <c r="K1087" i="9"/>
  <c r="V1087" i="9"/>
  <c r="O1077" i="9"/>
  <c r="Z1077" i="9"/>
  <c r="J1086" i="9"/>
  <c r="U1086" i="9"/>
  <c r="M1083" i="9"/>
  <c r="X1083" i="9"/>
  <c r="J1082" i="9"/>
  <c r="U1082" i="9"/>
  <c r="I1088" i="9"/>
  <c r="T1088" i="9"/>
  <c r="M1078" i="9"/>
  <c r="X1078" i="9"/>
  <c r="L1080" i="9"/>
  <c r="W1080" i="9"/>
  <c r="N1081" i="9"/>
  <c r="Y1081" i="9"/>
  <c r="L1090" i="9"/>
  <c r="W1090" i="9"/>
  <c r="N1085" i="9"/>
  <c r="Y1085" i="9"/>
  <c r="H1077" i="9"/>
  <c r="S1077" i="9"/>
  <c r="K1082" i="9"/>
  <c r="V1082" i="9"/>
  <c r="M1079" i="9"/>
  <c r="X1079" i="9"/>
  <c r="F1088" i="9"/>
  <c r="Q1088" i="9"/>
  <c r="F1080" i="9"/>
  <c r="Q1080" i="9"/>
  <c r="M1089" i="9"/>
  <c r="X1089" i="9"/>
  <c r="G1085" i="9"/>
  <c r="R1085" i="9"/>
  <c r="O1083" i="9"/>
  <c r="Z1083" i="9"/>
  <c r="F1086" i="9"/>
  <c r="Q1086" i="9"/>
  <c r="K1089" i="9"/>
  <c r="V1089" i="9"/>
  <c r="F1079" i="9"/>
  <c r="Q1079" i="9"/>
  <c r="F1077" i="9"/>
  <c r="Q1077" i="9"/>
  <c r="J1087" i="9"/>
  <c r="U1087" i="9"/>
  <c r="F1089" i="9"/>
  <c r="Q1089" i="9"/>
  <c r="K1088" i="9"/>
  <c r="V1088" i="9"/>
  <c r="I1077" i="9"/>
  <c r="T1077" i="9"/>
  <c r="L1084" i="9"/>
  <c r="W1084" i="9"/>
  <c r="O1081" i="9"/>
  <c r="Z1081" i="9"/>
  <c r="O1089" i="9"/>
  <c r="Z1089" i="9"/>
  <c r="H1088" i="9"/>
  <c r="S1088" i="9"/>
  <c r="M1077" i="9"/>
  <c r="X1077" i="9"/>
  <c r="N1082" i="9"/>
  <c r="Y1082" i="9"/>
  <c r="J1088" i="9"/>
  <c r="U1088" i="9"/>
  <c r="F1081" i="9"/>
  <c r="Q1081" i="9"/>
  <c r="M1085" i="9"/>
  <c r="X1085" i="9"/>
  <c r="I1090" i="9"/>
  <c r="T1090" i="9"/>
  <c r="H1090" i="9"/>
  <c r="S1090" i="9"/>
  <c r="BA104" i="1"/>
  <c r="F115" i="9" a="1"/>
  <c r="BA139" i="1"/>
  <c r="F227" i="9" a="1"/>
  <c r="BA112" i="1"/>
  <c r="F131" i="9" a="1"/>
  <c r="BA115" i="1"/>
  <c r="F147" i="9" a="1"/>
  <c r="BA143" i="1"/>
  <c r="F243" i="9" a="1"/>
  <c r="BA125" i="1"/>
  <c r="F179" i="9" a="1"/>
  <c r="BA397" i="1"/>
  <c r="F851" i="9" a="1"/>
  <c r="BA88" i="1"/>
  <c r="F83" i="9" a="1"/>
  <c r="BA393" i="1"/>
  <c r="F835" i="9" a="1"/>
  <c r="BA166" i="1"/>
  <c r="F307" i="9" a="1"/>
  <c r="BA205" i="1"/>
  <c r="F435" i="9" a="1"/>
  <c r="BA505" i="1"/>
  <c r="F1091" i="9" a="1"/>
  <c r="BA187" i="1"/>
  <c r="F387" i="9" a="1"/>
  <c r="BA223" i="1"/>
  <c r="F483" i="9" a="1"/>
  <c r="BA381" i="1"/>
  <c r="F787" i="9" a="1"/>
  <c r="BA356" i="1"/>
  <c r="F675" i="9" a="1"/>
  <c r="BA403" i="1"/>
  <c r="F883" i="9" a="1"/>
  <c r="BA444" i="1"/>
  <c r="F963" i="9" a="1"/>
  <c r="BA407" i="1"/>
  <c r="F899" i="9" a="1"/>
  <c r="G3" i="9"/>
  <c r="R3" i="9"/>
  <c r="M3" i="9"/>
  <c r="X3" i="9"/>
  <c r="K4" i="9"/>
  <c r="V4" i="9"/>
  <c r="I5" i="9"/>
  <c r="T5" i="9"/>
  <c r="G6" i="9"/>
  <c r="R6" i="9"/>
  <c r="O6" i="9"/>
  <c r="Z6" i="9"/>
  <c r="M7" i="9"/>
  <c r="X7" i="9"/>
  <c r="K8" i="9"/>
  <c r="V8" i="9"/>
  <c r="I9" i="9"/>
  <c r="T9" i="9"/>
  <c r="G10" i="9"/>
  <c r="R10" i="9"/>
  <c r="O10" i="9"/>
  <c r="Z10" i="9"/>
  <c r="M11" i="9"/>
  <c r="X11" i="9"/>
  <c r="K12" i="9"/>
  <c r="V12" i="9"/>
  <c r="I13" i="9"/>
  <c r="T13" i="9"/>
  <c r="G14" i="9"/>
  <c r="R14" i="9"/>
  <c r="O14" i="9"/>
  <c r="Z14" i="9"/>
  <c r="M15" i="9"/>
  <c r="X15" i="9"/>
  <c r="K16" i="9"/>
  <c r="V16" i="9"/>
  <c r="I17" i="9"/>
  <c r="T17" i="9"/>
  <c r="G18" i="9"/>
  <c r="R18" i="9"/>
  <c r="O18" i="9"/>
  <c r="Z18" i="9"/>
  <c r="F3" i="9"/>
  <c r="N3" i="9"/>
  <c r="Y3" i="9"/>
  <c r="L4" i="9"/>
  <c r="W4" i="9"/>
  <c r="J5" i="9"/>
  <c r="U5" i="9"/>
  <c r="H6" i="9"/>
  <c r="S6" i="9"/>
  <c r="F7" i="9"/>
  <c r="Q7" i="9"/>
  <c r="N7" i="9"/>
  <c r="Y7" i="9"/>
  <c r="L8" i="9"/>
  <c r="W8" i="9"/>
  <c r="J9" i="9"/>
  <c r="U9" i="9"/>
  <c r="H10" i="9"/>
  <c r="S10" i="9"/>
  <c r="F11" i="9"/>
  <c r="Q11" i="9"/>
  <c r="N11" i="9"/>
  <c r="Y11" i="9"/>
  <c r="L12" i="9"/>
  <c r="W12" i="9"/>
  <c r="J13" i="9"/>
  <c r="U13" i="9"/>
  <c r="H14" i="9"/>
  <c r="S14" i="9"/>
  <c r="F15" i="9"/>
  <c r="Q15" i="9"/>
  <c r="N15" i="9"/>
  <c r="Y15" i="9"/>
  <c r="L16" i="9"/>
  <c r="W16" i="9"/>
  <c r="J17" i="9"/>
  <c r="U17" i="9"/>
  <c r="H18" i="9"/>
  <c r="S18" i="9"/>
  <c r="I3" i="9"/>
  <c r="T3" i="9"/>
  <c r="G4" i="9"/>
  <c r="R4" i="9"/>
  <c r="O4" i="9"/>
  <c r="Z4" i="9"/>
  <c r="M5" i="9"/>
  <c r="X5" i="9"/>
  <c r="K6" i="9"/>
  <c r="V6" i="9"/>
  <c r="I7" i="9"/>
  <c r="T7" i="9"/>
  <c r="G8" i="9"/>
  <c r="R8" i="9"/>
  <c r="O8" i="9"/>
  <c r="Z8" i="9"/>
  <c r="M9" i="9"/>
  <c r="X9" i="9"/>
  <c r="K10" i="9"/>
  <c r="V10" i="9"/>
  <c r="I11" i="9"/>
  <c r="T11" i="9"/>
  <c r="G12" i="9"/>
  <c r="R12" i="9"/>
  <c r="O12" i="9"/>
  <c r="Z12" i="9"/>
  <c r="M13" i="9"/>
  <c r="X13" i="9"/>
  <c r="K14" i="9"/>
  <c r="V14" i="9"/>
  <c r="I15" i="9"/>
  <c r="T15" i="9"/>
  <c r="G16" i="9"/>
  <c r="R16" i="9"/>
  <c r="O16" i="9"/>
  <c r="Z16" i="9"/>
  <c r="M17" i="9"/>
  <c r="X17" i="9"/>
  <c r="K18" i="9"/>
  <c r="V18" i="9"/>
  <c r="J3" i="9"/>
  <c r="U3" i="9"/>
  <c r="H4" i="9"/>
  <c r="S4" i="9"/>
  <c r="F5" i="9"/>
  <c r="Q5" i="9"/>
  <c r="N5" i="9"/>
  <c r="Y5" i="9"/>
  <c r="L6" i="9"/>
  <c r="W6" i="9"/>
  <c r="J7" i="9"/>
  <c r="U7" i="9"/>
  <c r="H8" i="9"/>
  <c r="S8" i="9"/>
  <c r="F9" i="9"/>
  <c r="Q9" i="9"/>
  <c r="N9" i="9"/>
  <c r="Y9" i="9"/>
  <c r="L10" i="9"/>
  <c r="W10" i="9"/>
  <c r="J11" i="9"/>
  <c r="U11" i="9"/>
  <c r="H12" i="9"/>
  <c r="S12" i="9"/>
  <c r="F13" i="9"/>
  <c r="Q13" i="9"/>
  <c r="N13" i="9"/>
  <c r="Y13" i="9"/>
  <c r="L14" i="9"/>
  <c r="W14" i="9"/>
  <c r="J15" i="9"/>
  <c r="U15" i="9"/>
  <c r="H16" i="9"/>
  <c r="S16" i="9"/>
  <c r="F17" i="9"/>
  <c r="Q17" i="9"/>
  <c r="N17" i="9"/>
  <c r="Y17" i="9"/>
  <c r="L18" i="9"/>
  <c r="W18" i="9"/>
  <c r="N18" i="9"/>
  <c r="Y18" i="9"/>
  <c r="H17" i="9"/>
  <c r="S17" i="9"/>
  <c r="L15" i="9"/>
  <c r="W15" i="9"/>
  <c r="F14" i="9"/>
  <c r="Q14" i="9"/>
  <c r="J12" i="9"/>
  <c r="U12" i="9"/>
  <c r="N10" i="9"/>
  <c r="Y10" i="9"/>
  <c r="H9" i="9"/>
  <c r="S9" i="9"/>
  <c r="L7" i="9"/>
  <c r="W7" i="9"/>
  <c r="F6" i="9"/>
  <c r="Q6" i="9"/>
  <c r="J4" i="9"/>
  <c r="U4" i="9"/>
  <c r="M18" i="9"/>
  <c r="X18" i="9"/>
  <c r="G17" i="9"/>
  <c r="R17" i="9"/>
  <c r="K15" i="9"/>
  <c r="V15" i="9"/>
  <c r="O13" i="9"/>
  <c r="Z13" i="9"/>
  <c r="I12" i="9"/>
  <c r="T12" i="9"/>
  <c r="M10" i="9"/>
  <c r="X10" i="9"/>
  <c r="G9" i="9"/>
  <c r="R9" i="9"/>
  <c r="K7" i="9"/>
  <c r="V7" i="9"/>
  <c r="O5" i="9"/>
  <c r="Z5" i="9"/>
  <c r="I4" i="9"/>
  <c r="T4" i="9"/>
  <c r="L5" i="9"/>
  <c r="W5" i="9"/>
  <c r="M16" i="9"/>
  <c r="X16" i="9"/>
  <c r="K13" i="9"/>
  <c r="V13" i="9"/>
  <c r="O11" i="9"/>
  <c r="Z11" i="9"/>
  <c r="I10" i="9"/>
  <c r="T10" i="9"/>
  <c r="G7" i="9"/>
  <c r="R7" i="9"/>
  <c r="K5" i="9"/>
  <c r="V5" i="9"/>
  <c r="O3" i="9"/>
  <c r="Z3" i="9"/>
  <c r="F10" i="9"/>
  <c r="Q10" i="9"/>
  <c r="N6" i="9"/>
  <c r="Y6" i="9"/>
  <c r="L3" i="9"/>
  <c r="W3" i="9"/>
  <c r="I16" i="9"/>
  <c r="T16" i="9"/>
  <c r="G13" i="9"/>
  <c r="R13" i="9"/>
  <c r="O9" i="9"/>
  <c r="Z9" i="9"/>
  <c r="I8" i="9"/>
  <c r="T8" i="9"/>
  <c r="K3" i="9"/>
  <c r="V3" i="9"/>
  <c r="L17" i="9"/>
  <c r="W17" i="9"/>
  <c r="N12" i="9"/>
  <c r="Y12" i="9"/>
  <c r="F8" i="9"/>
  <c r="Q8" i="9"/>
  <c r="N4" i="9"/>
  <c r="Y4" i="9"/>
  <c r="O15" i="9"/>
  <c r="Z15" i="9"/>
  <c r="I14" i="9"/>
  <c r="T14" i="9"/>
  <c r="K9" i="9"/>
  <c r="V9" i="9"/>
  <c r="I6" i="9"/>
  <c r="T6" i="9"/>
  <c r="J18" i="9"/>
  <c r="U18" i="9"/>
  <c r="N16" i="9"/>
  <c r="Y16" i="9"/>
  <c r="H15" i="9"/>
  <c r="S15" i="9"/>
  <c r="L13" i="9"/>
  <c r="W13" i="9"/>
  <c r="F12" i="9"/>
  <c r="Q12" i="9"/>
  <c r="J10" i="9"/>
  <c r="U10" i="9"/>
  <c r="N8" i="9"/>
  <c r="Y8" i="9"/>
  <c r="H7" i="9"/>
  <c r="S7" i="9"/>
  <c r="F4" i="9"/>
  <c r="Q4" i="9"/>
  <c r="I18" i="9"/>
  <c r="T18" i="9"/>
  <c r="G15" i="9"/>
  <c r="R15" i="9"/>
  <c r="M8" i="9"/>
  <c r="X8" i="9"/>
  <c r="O17" i="9"/>
  <c r="Z17" i="9"/>
  <c r="K11" i="9"/>
  <c r="V11" i="9"/>
  <c r="G5" i="9"/>
  <c r="R5" i="9"/>
  <c r="F16" i="9"/>
  <c r="Q16" i="9"/>
  <c r="H11" i="9"/>
  <c r="S11" i="9"/>
  <c r="H3" i="9"/>
  <c r="S3" i="9"/>
  <c r="G11" i="9"/>
  <c r="R11" i="9"/>
  <c r="M4" i="9"/>
  <c r="X4" i="9"/>
  <c r="F18" i="9"/>
  <c r="Q18" i="9"/>
  <c r="J16" i="9"/>
  <c r="U16" i="9"/>
  <c r="N14" i="9"/>
  <c r="Y14" i="9"/>
  <c r="H13" i="9"/>
  <c r="S13" i="9"/>
  <c r="L11" i="9"/>
  <c r="W11" i="9"/>
  <c r="J8" i="9"/>
  <c r="U8" i="9"/>
  <c r="H5" i="9"/>
  <c r="S5" i="9"/>
  <c r="M14" i="9"/>
  <c r="X14" i="9"/>
  <c r="M6" i="9"/>
  <c r="X6" i="9"/>
  <c r="J14" i="9"/>
  <c r="U14" i="9"/>
  <c r="L9" i="9"/>
  <c r="W9" i="9"/>
  <c r="J6" i="9"/>
  <c r="U6" i="9"/>
  <c r="K17" i="9"/>
  <c r="V17" i="9"/>
  <c r="M12" i="9"/>
  <c r="X12" i="9"/>
  <c r="O7" i="9"/>
  <c r="Z7" i="9"/>
  <c r="BA59" i="1"/>
  <c r="BA66" i="1"/>
  <c r="BA80" i="1"/>
  <c r="BA501" i="1"/>
  <c r="BA95" i="1"/>
  <c r="BA52" i="1"/>
  <c r="N112" i="5"/>
  <c r="N125" i="5"/>
  <c r="N100" i="5"/>
  <c r="N98" i="5"/>
  <c r="N123" i="5"/>
  <c r="N110" i="5"/>
  <c r="N116" i="5"/>
  <c r="N104" i="5"/>
  <c r="N128" i="5"/>
  <c r="N115" i="5"/>
  <c r="N101" i="5"/>
  <c r="N126" i="5"/>
  <c r="N113" i="5"/>
  <c r="O131" i="5"/>
  <c r="O118" i="5"/>
  <c r="N103" i="5"/>
  <c r="N99" i="5"/>
  <c r="N114" i="5"/>
  <c r="N127" i="5"/>
  <c r="N102" i="5"/>
  <c r="N105" i="5"/>
  <c r="N117" i="5"/>
  <c r="N106" i="5"/>
  <c r="N118" i="5"/>
  <c r="N131" i="5"/>
  <c r="M120" i="5"/>
  <c r="N95" i="5"/>
  <c r="Q1314" i="9"/>
  <c r="P1314" i="9"/>
  <c r="Q1312" i="9"/>
  <c r="P1312" i="9"/>
  <c r="Q1306" i="9"/>
  <c r="P1306" i="9"/>
  <c r="Q1300" i="9"/>
  <c r="P1300" i="9"/>
  <c r="Q1303" i="9"/>
  <c r="P1303" i="9"/>
  <c r="Q1304" i="9"/>
  <c r="P1304" i="9"/>
  <c r="Q1310" i="9"/>
  <c r="P1310" i="9"/>
  <c r="Q1309" i="9"/>
  <c r="P1309" i="9"/>
  <c r="Q1313" i="9"/>
  <c r="P1313" i="9"/>
  <c r="Q1301" i="9"/>
  <c r="P1301" i="9"/>
  <c r="Q1307" i="9"/>
  <c r="P1307" i="9"/>
  <c r="Q1305" i="9"/>
  <c r="P1305" i="9"/>
  <c r="Q1311" i="9"/>
  <c r="P1311" i="9"/>
  <c r="Q1308" i="9"/>
  <c r="P1308" i="9"/>
  <c r="Q1302" i="9"/>
  <c r="P1302" i="9"/>
  <c r="Q1299" i="9"/>
  <c r="P1299" i="9"/>
  <c r="K1241" i="9"/>
  <c r="V1241" i="9"/>
  <c r="I1250" i="9"/>
  <c r="T1250" i="9"/>
  <c r="G1235" i="9"/>
  <c r="R1235" i="9"/>
  <c r="F1241" i="9"/>
  <c r="L1249" i="9"/>
  <c r="W1249" i="9"/>
  <c r="L1245" i="9"/>
  <c r="W1245" i="9"/>
  <c r="F1244" i="9"/>
  <c r="I1243" i="9"/>
  <c r="T1243" i="9"/>
  <c r="H1250" i="9"/>
  <c r="S1250" i="9"/>
  <c r="J1250" i="9"/>
  <c r="U1250" i="9"/>
  <c r="M1236" i="9"/>
  <c r="X1236" i="9"/>
  <c r="K1245" i="9"/>
  <c r="V1245" i="9"/>
  <c r="I1248" i="9"/>
  <c r="T1248" i="9"/>
  <c r="J1239" i="9"/>
  <c r="U1239" i="9"/>
  <c r="F1248" i="9"/>
  <c r="J1243" i="9"/>
  <c r="U1243" i="9"/>
  <c r="H1241" i="9"/>
  <c r="S1241" i="9"/>
  <c r="J1240" i="9"/>
  <c r="U1240" i="9"/>
  <c r="K1244" i="9"/>
  <c r="V1244" i="9"/>
  <c r="L1244" i="9"/>
  <c r="W1244" i="9"/>
  <c r="I1246" i="9"/>
  <c r="T1246" i="9"/>
  <c r="M1235" i="9"/>
  <c r="X1235" i="9"/>
  <c r="H1239" i="9"/>
  <c r="S1239" i="9"/>
  <c r="N1250" i="9"/>
  <c r="Y1250" i="9"/>
  <c r="L1247" i="9"/>
  <c r="W1247" i="9"/>
  <c r="G1247" i="9"/>
  <c r="R1247" i="9"/>
  <c r="G1242" i="9"/>
  <c r="R1242" i="9"/>
  <c r="F1247" i="9"/>
  <c r="H1245" i="9"/>
  <c r="S1245" i="9"/>
  <c r="F1238" i="9"/>
  <c r="M1248" i="9"/>
  <c r="X1248" i="9"/>
  <c r="L1242" i="9"/>
  <c r="W1242" i="9"/>
  <c r="M1247" i="9"/>
  <c r="X1247" i="9"/>
  <c r="G1246" i="9"/>
  <c r="R1246" i="9"/>
  <c r="M1239" i="9"/>
  <c r="X1239" i="9"/>
  <c r="G1241" i="9"/>
  <c r="R1241" i="9"/>
  <c r="H1244" i="9"/>
  <c r="S1244" i="9"/>
  <c r="N1249" i="9"/>
  <c r="Y1249" i="9"/>
  <c r="O1248" i="9"/>
  <c r="Z1248" i="9"/>
  <c r="J1245" i="9"/>
  <c r="U1245" i="9"/>
  <c r="O1249" i="9"/>
  <c r="Z1249" i="9"/>
  <c r="O1247" i="9"/>
  <c r="Z1247" i="9"/>
  <c r="K1247" i="9"/>
  <c r="V1247" i="9"/>
  <c r="F1237" i="9"/>
  <c r="H1243" i="9"/>
  <c r="S1243" i="9"/>
  <c r="N1236" i="9"/>
  <c r="Y1236" i="9"/>
  <c r="J1248" i="9"/>
  <c r="U1248" i="9"/>
  <c r="N1247" i="9"/>
  <c r="Y1247" i="9"/>
  <c r="H1247" i="9"/>
  <c r="S1247" i="9"/>
  <c r="N1241" i="9"/>
  <c r="Y1241" i="9"/>
  <c r="M1241" i="9"/>
  <c r="X1241" i="9"/>
  <c r="G1243" i="9"/>
  <c r="R1243" i="9"/>
  <c r="O1237" i="9"/>
  <c r="Z1237" i="9"/>
  <c r="J1235" i="9"/>
  <c r="U1235" i="9"/>
  <c r="L1241" i="9"/>
  <c r="W1241" i="9"/>
  <c r="G1250" i="9"/>
  <c r="R1250" i="9"/>
  <c r="H1246" i="9"/>
  <c r="S1246" i="9"/>
  <c r="F1245" i="9"/>
  <c r="J1244" i="9"/>
  <c r="U1244" i="9"/>
  <c r="L1235" i="9"/>
  <c r="W1235" i="9"/>
  <c r="I1235" i="9"/>
  <c r="T1235" i="9"/>
  <c r="I1242" i="9"/>
  <c r="T1242" i="9"/>
  <c r="K1240" i="9"/>
  <c r="V1240" i="9"/>
  <c r="O1244" i="9"/>
  <c r="Z1244" i="9"/>
  <c r="J1242" i="9"/>
  <c r="U1242" i="9"/>
  <c r="L1248" i="9"/>
  <c r="W1248" i="9"/>
  <c r="G1237" i="9"/>
  <c r="R1237" i="9"/>
  <c r="J1246" i="9"/>
  <c r="U1246" i="9"/>
  <c r="H1238" i="9"/>
  <c r="S1238" i="9"/>
  <c r="N1238" i="9"/>
  <c r="Y1238" i="9"/>
  <c r="I1236" i="9"/>
  <c r="T1236" i="9"/>
  <c r="M1238" i="9"/>
  <c r="X1238" i="9"/>
  <c r="O1246" i="9"/>
  <c r="Z1246" i="9"/>
  <c r="I1239" i="9"/>
  <c r="T1239" i="9"/>
  <c r="N1240" i="9"/>
  <c r="Y1240" i="9"/>
  <c r="O1245" i="9"/>
  <c r="Z1245" i="9"/>
  <c r="K1243" i="9"/>
  <c r="V1243" i="9"/>
  <c r="K1248" i="9"/>
  <c r="V1248" i="9"/>
  <c r="H1242" i="9"/>
  <c r="S1242" i="9"/>
  <c r="K1246" i="9"/>
  <c r="V1246" i="9"/>
  <c r="K1239" i="9"/>
  <c r="V1239" i="9"/>
  <c r="K1237" i="9"/>
  <c r="V1237" i="9"/>
  <c r="I1240" i="9"/>
  <c r="T1240" i="9"/>
  <c r="J1236" i="9"/>
  <c r="U1236" i="9"/>
  <c r="I1245" i="9"/>
  <c r="T1245" i="9"/>
  <c r="N1239" i="9"/>
  <c r="Y1239" i="9"/>
  <c r="G1236" i="9"/>
  <c r="R1236" i="9"/>
  <c r="H1235" i="9"/>
  <c r="S1235" i="9"/>
  <c r="O1250" i="9"/>
  <c r="Z1250" i="9"/>
  <c r="J1249" i="9"/>
  <c r="U1249" i="9"/>
  <c r="I1249" i="9"/>
  <c r="T1249" i="9"/>
  <c r="K1249" i="9"/>
  <c r="V1249" i="9"/>
  <c r="K1235" i="9"/>
  <c r="V1235" i="9"/>
  <c r="L1237" i="9"/>
  <c r="W1237" i="9"/>
  <c r="M1243" i="9"/>
  <c r="X1243" i="9"/>
  <c r="M1237" i="9"/>
  <c r="X1237" i="9"/>
  <c r="H1249" i="9"/>
  <c r="S1249" i="9"/>
  <c r="N1248" i="9"/>
  <c r="Y1248" i="9"/>
  <c r="G1248" i="9"/>
  <c r="R1248" i="9"/>
  <c r="N1243" i="9"/>
  <c r="Y1243" i="9"/>
  <c r="L1243" i="9"/>
  <c r="W1243" i="9"/>
  <c r="I1244" i="9"/>
  <c r="T1244" i="9"/>
  <c r="N1244" i="9"/>
  <c r="Y1244" i="9"/>
  <c r="K1250" i="9"/>
  <c r="V1250" i="9"/>
  <c r="F1250" i="9"/>
  <c r="I1247" i="9"/>
  <c r="T1247" i="9"/>
  <c r="F1236" i="9"/>
  <c r="L1250" i="9"/>
  <c r="W1250" i="9"/>
  <c r="F1246" i="9"/>
  <c r="G1238" i="9"/>
  <c r="R1238" i="9"/>
  <c r="O1239" i="9"/>
  <c r="Z1239" i="9"/>
  <c r="K1236" i="9"/>
  <c r="V1236" i="9"/>
  <c r="N1235" i="9"/>
  <c r="Y1235" i="9"/>
  <c r="N1246" i="9"/>
  <c r="Y1246" i="9"/>
  <c r="G1240" i="9"/>
  <c r="R1240" i="9"/>
  <c r="M1244" i="9"/>
  <c r="X1244" i="9"/>
  <c r="F1235" i="9"/>
  <c r="K1238" i="9"/>
  <c r="V1238" i="9"/>
  <c r="M1249" i="9"/>
  <c r="X1249" i="9"/>
  <c r="M1245" i="9"/>
  <c r="X1245" i="9"/>
  <c r="M1250" i="9"/>
  <c r="X1250" i="9"/>
  <c r="O1243" i="9"/>
  <c r="Z1243" i="9"/>
  <c r="M1246" i="9"/>
  <c r="X1246" i="9"/>
  <c r="O1238" i="9"/>
  <c r="Z1238" i="9"/>
  <c r="J1247" i="9"/>
  <c r="U1247" i="9"/>
  <c r="N1242" i="9"/>
  <c r="Y1242" i="9"/>
  <c r="H1240" i="9"/>
  <c r="S1240" i="9"/>
  <c r="L1239" i="9"/>
  <c r="W1239" i="9"/>
  <c r="K1242" i="9"/>
  <c r="V1242" i="9"/>
  <c r="O1242" i="9"/>
  <c r="Z1242" i="9"/>
  <c r="M1242" i="9"/>
  <c r="X1242" i="9"/>
  <c r="G1239" i="9"/>
  <c r="R1239" i="9"/>
  <c r="O1241" i="9"/>
  <c r="Z1241" i="9"/>
  <c r="H1237" i="9"/>
  <c r="S1237" i="9"/>
  <c r="N1245" i="9"/>
  <c r="Y1245" i="9"/>
  <c r="L1240" i="9"/>
  <c r="W1240" i="9"/>
  <c r="I1237" i="9"/>
  <c r="T1237" i="9"/>
  <c r="H1236" i="9"/>
  <c r="S1236" i="9"/>
  <c r="L1236" i="9"/>
  <c r="W1236" i="9"/>
  <c r="O1236" i="9"/>
  <c r="Z1236" i="9"/>
  <c r="G1249" i="9"/>
  <c r="R1249" i="9"/>
  <c r="G1245" i="9"/>
  <c r="R1245" i="9"/>
  <c r="F1249" i="9"/>
  <c r="F1243" i="9"/>
  <c r="H1248" i="9"/>
  <c r="S1248" i="9"/>
  <c r="I1238" i="9"/>
  <c r="T1238" i="9"/>
  <c r="N1237" i="9"/>
  <c r="Y1237" i="9"/>
  <c r="I1241" i="9"/>
  <c r="T1241" i="9"/>
  <c r="J1237" i="9"/>
  <c r="U1237" i="9"/>
  <c r="F1239" i="9"/>
  <c r="O1235" i="9"/>
  <c r="Z1235" i="9"/>
  <c r="J1238" i="9"/>
  <c r="U1238" i="9"/>
  <c r="F1242" i="9"/>
  <c r="L1238" i="9"/>
  <c r="W1238" i="9"/>
  <c r="O1240" i="9"/>
  <c r="Z1240" i="9"/>
  <c r="M1240" i="9"/>
  <c r="X1240" i="9"/>
  <c r="F1240" i="9"/>
  <c r="G1244" i="9"/>
  <c r="R1244" i="9"/>
  <c r="J1241" i="9"/>
  <c r="U1241" i="9"/>
  <c r="L1246" i="9"/>
  <c r="W1246" i="9"/>
  <c r="F1254" i="9"/>
  <c r="L1257" i="9"/>
  <c r="W1257" i="9"/>
  <c r="F1266" i="9"/>
  <c r="H1254" i="9"/>
  <c r="S1254" i="9"/>
  <c r="G1252" i="9"/>
  <c r="R1252" i="9"/>
  <c r="I1264" i="9"/>
  <c r="T1264" i="9"/>
  <c r="L1266" i="9"/>
  <c r="W1266" i="9"/>
  <c r="L1263" i="9"/>
  <c r="W1263" i="9"/>
  <c r="K1252" i="9"/>
  <c r="V1252" i="9"/>
  <c r="J1262" i="9"/>
  <c r="U1262" i="9"/>
  <c r="M1262" i="9"/>
  <c r="X1262" i="9"/>
  <c r="L1258" i="9"/>
  <c r="W1258" i="9"/>
  <c r="F1255" i="9"/>
  <c r="H1256" i="9"/>
  <c r="S1256" i="9"/>
  <c r="N1252" i="9"/>
  <c r="Y1252" i="9"/>
  <c r="N1257" i="9"/>
  <c r="Y1257" i="9"/>
  <c r="H1257" i="9"/>
  <c r="S1257" i="9"/>
  <c r="L1264" i="9"/>
  <c r="W1264" i="9"/>
  <c r="H1266" i="9"/>
  <c r="S1266" i="9"/>
  <c r="L1262" i="9"/>
  <c r="W1262" i="9"/>
  <c r="J1265" i="9"/>
  <c r="U1265" i="9"/>
  <c r="F1264" i="9"/>
  <c r="I1252" i="9"/>
  <c r="T1252" i="9"/>
  <c r="I1266" i="9"/>
  <c r="T1266" i="9"/>
  <c r="F1252" i="9"/>
  <c r="I1256" i="9"/>
  <c r="T1256" i="9"/>
  <c r="M1257" i="9"/>
  <c r="X1257" i="9"/>
  <c r="G1256" i="9"/>
  <c r="R1256" i="9"/>
  <c r="K1264" i="9"/>
  <c r="V1264" i="9"/>
  <c r="F1265" i="9"/>
  <c r="O1254" i="9"/>
  <c r="Z1254" i="9"/>
  <c r="F1261" i="9"/>
  <c r="L1261" i="9"/>
  <c r="W1261" i="9"/>
  <c r="N1251" i="9"/>
  <c r="Y1251" i="9"/>
  <c r="M1255" i="9"/>
  <c r="X1255" i="9"/>
  <c r="K1259" i="9"/>
  <c r="V1259" i="9"/>
  <c r="G1257" i="9"/>
  <c r="R1257" i="9"/>
  <c r="L1259" i="9"/>
  <c r="W1259" i="9"/>
  <c r="L1260" i="9"/>
  <c r="W1260" i="9"/>
  <c r="F1257" i="9"/>
  <c r="N1258" i="9"/>
  <c r="Y1258" i="9"/>
  <c r="K1265" i="9"/>
  <c r="V1265" i="9"/>
  <c r="L1254" i="9"/>
  <c r="W1254" i="9"/>
  <c r="O1252" i="9"/>
  <c r="Z1252" i="9"/>
  <c r="G1264" i="9"/>
  <c r="R1264" i="9"/>
  <c r="K1258" i="9"/>
  <c r="V1258" i="9"/>
  <c r="J1259" i="9"/>
  <c r="U1259" i="9"/>
  <c r="K1262" i="9"/>
  <c r="V1262" i="9"/>
  <c r="I1253" i="9"/>
  <c r="T1253" i="9"/>
  <c r="M1252" i="9"/>
  <c r="X1252" i="9"/>
  <c r="O1251" i="9"/>
  <c r="Z1251" i="9"/>
  <c r="I1254" i="9"/>
  <c r="T1254" i="9"/>
  <c r="N1255" i="9"/>
  <c r="Y1255" i="9"/>
  <c r="G1258" i="9"/>
  <c r="R1258" i="9"/>
  <c r="G1259" i="9"/>
  <c r="R1259" i="9"/>
  <c r="G1262" i="9"/>
  <c r="R1262" i="9"/>
  <c r="I1262" i="9"/>
  <c r="T1262" i="9"/>
  <c r="L1251" i="9"/>
  <c r="W1251" i="9"/>
  <c r="M1254" i="9"/>
  <c r="X1254" i="9"/>
  <c r="M1259" i="9"/>
  <c r="X1259" i="9"/>
  <c r="J1254" i="9"/>
  <c r="U1254" i="9"/>
  <c r="J1257" i="9"/>
  <c r="U1257" i="9"/>
  <c r="J1264" i="9"/>
  <c r="U1264" i="9"/>
  <c r="O1253" i="9"/>
  <c r="Z1253" i="9"/>
  <c r="F1258" i="9"/>
  <c r="G1253" i="9"/>
  <c r="R1253" i="9"/>
  <c r="O1266" i="9"/>
  <c r="Z1266" i="9"/>
  <c r="I1258" i="9"/>
  <c r="T1258" i="9"/>
  <c r="K1254" i="9"/>
  <c r="V1254" i="9"/>
  <c r="F1256" i="9"/>
  <c r="K1253" i="9"/>
  <c r="V1253" i="9"/>
  <c r="J1251" i="9"/>
  <c r="U1251" i="9"/>
  <c r="K1255" i="9"/>
  <c r="V1255" i="9"/>
  <c r="K1257" i="9"/>
  <c r="V1257" i="9"/>
  <c r="L1256" i="9"/>
  <c r="W1256" i="9"/>
  <c r="J1261" i="9"/>
  <c r="U1261" i="9"/>
  <c r="J1260" i="9"/>
  <c r="U1260" i="9"/>
  <c r="K1261" i="9"/>
  <c r="V1261" i="9"/>
  <c r="L1253" i="9"/>
  <c r="W1253" i="9"/>
  <c r="F1251" i="9"/>
  <c r="N1266" i="9"/>
  <c r="Y1266" i="9"/>
  <c r="H1264" i="9"/>
  <c r="S1264" i="9"/>
  <c r="J1252" i="9"/>
  <c r="U1252" i="9"/>
  <c r="L1265" i="9"/>
  <c r="W1265" i="9"/>
  <c r="I1259" i="9"/>
  <c r="T1259" i="9"/>
  <c r="G1254" i="9"/>
  <c r="R1254" i="9"/>
  <c r="F1263" i="9"/>
  <c r="M1265" i="9"/>
  <c r="X1265" i="9"/>
  <c r="N1263" i="9"/>
  <c r="Y1263" i="9"/>
  <c r="G1255" i="9"/>
  <c r="R1255" i="9"/>
  <c r="F1260" i="9"/>
  <c r="H1251" i="9"/>
  <c r="S1251" i="9"/>
  <c r="K1263" i="9"/>
  <c r="V1263" i="9"/>
  <c r="F1259" i="9"/>
  <c r="I1261" i="9"/>
  <c r="T1261" i="9"/>
  <c r="O1259" i="9"/>
  <c r="Z1259" i="9"/>
  <c r="M1258" i="9"/>
  <c r="X1258" i="9"/>
  <c r="H1261" i="9"/>
  <c r="S1261" i="9"/>
  <c r="F1253" i="9"/>
  <c r="H1259" i="9"/>
  <c r="S1259" i="9"/>
  <c r="J1256" i="9"/>
  <c r="U1256" i="9"/>
  <c r="M1253" i="9"/>
  <c r="X1253" i="9"/>
  <c r="G1260" i="9"/>
  <c r="R1260" i="9"/>
  <c r="I1257" i="9"/>
  <c r="T1257" i="9"/>
  <c r="N1264" i="9"/>
  <c r="Y1264" i="9"/>
  <c r="I1265" i="9"/>
  <c r="T1265" i="9"/>
  <c r="H1258" i="9"/>
  <c r="S1258" i="9"/>
  <c r="N1262" i="9"/>
  <c r="Y1262" i="9"/>
  <c r="H1263" i="9"/>
  <c r="S1263" i="9"/>
  <c r="K1266" i="9"/>
  <c r="V1266" i="9"/>
  <c r="J1255" i="9"/>
  <c r="U1255" i="9"/>
  <c r="N1265" i="9"/>
  <c r="Y1265" i="9"/>
  <c r="H1260" i="9"/>
  <c r="S1260" i="9"/>
  <c r="O1262" i="9"/>
  <c r="Z1262" i="9"/>
  <c r="N1253" i="9"/>
  <c r="Y1253" i="9"/>
  <c r="I1260" i="9"/>
  <c r="T1260" i="9"/>
  <c r="H1255" i="9"/>
  <c r="S1255" i="9"/>
  <c r="N1261" i="9"/>
  <c r="Y1261" i="9"/>
  <c r="M1264" i="9"/>
  <c r="X1264" i="9"/>
  <c r="I1255" i="9"/>
  <c r="T1255" i="9"/>
  <c r="O1264" i="9"/>
  <c r="Z1264" i="9"/>
  <c r="K1256" i="9"/>
  <c r="V1256" i="9"/>
  <c r="H1252" i="9"/>
  <c r="S1252" i="9"/>
  <c r="M1256" i="9"/>
  <c r="X1256" i="9"/>
  <c r="I1251" i="9"/>
  <c r="T1251" i="9"/>
  <c r="J1258" i="9"/>
  <c r="U1258" i="9"/>
  <c r="O1257" i="9"/>
  <c r="Z1257" i="9"/>
  <c r="G1266" i="9"/>
  <c r="R1266" i="9"/>
  <c r="M1260" i="9"/>
  <c r="X1260" i="9"/>
  <c r="H1265" i="9"/>
  <c r="S1265" i="9"/>
  <c r="N1256" i="9"/>
  <c r="Y1256" i="9"/>
  <c r="G1265" i="9"/>
  <c r="R1265" i="9"/>
  <c r="L1255" i="9"/>
  <c r="W1255" i="9"/>
  <c r="O1258" i="9"/>
  <c r="Z1258" i="9"/>
  <c r="M1266" i="9"/>
  <c r="X1266" i="9"/>
  <c r="G1261" i="9"/>
  <c r="R1261" i="9"/>
  <c r="K1251" i="9"/>
  <c r="V1251" i="9"/>
  <c r="J1266" i="9"/>
  <c r="U1266" i="9"/>
  <c r="O1261" i="9"/>
  <c r="Z1261" i="9"/>
  <c r="J1263" i="9"/>
  <c r="U1263" i="9"/>
  <c r="G1263" i="9"/>
  <c r="R1263" i="9"/>
  <c r="O1265" i="9"/>
  <c r="Z1265" i="9"/>
  <c r="J1253" i="9"/>
  <c r="U1253" i="9"/>
  <c r="F1262" i="9"/>
  <c r="O1255" i="9"/>
  <c r="Z1255" i="9"/>
  <c r="G1251" i="9"/>
  <c r="R1251" i="9"/>
  <c r="H1253" i="9"/>
  <c r="S1253" i="9"/>
  <c r="K1260" i="9"/>
  <c r="V1260" i="9"/>
  <c r="M1251" i="9"/>
  <c r="X1251" i="9"/>
  <c r="O1263" i="9"/>
  <c r="Z1263" i="9"/>
  <c r="N1259" i="9"/>
  <c r="Y1259" i="9"/>
  <c r="I1263" i="9"/>
  <c r="T1263" i="9"/>
  <c r="O1260" i="9"/>
  <c r="Z1260" i="9"/>
  <c r="L1252" i="9"/>
  <c r="W1252" i="9"/>
  <c r="N1254" i="9"/>
  <c r="Y1254" i="9"/>
  <c r="N1260" i="9"/>
  <c r="Y1260" i="9"/>
  <c r="O1256" i="9"/>
  <c r="Z1256" i="9"/>
  <c r="H1262" i="9"/>
  <c r="S1262" i="9"/>
  <c r="M1261" i="9"/>
  <c r="X1261" i="9"/>
  <c r="M1263" i="9"/>
  <c r="X1263" i="9"/>
  <c r="M1221" i="9"/>
  <c r="X1221" i="9"/>
  <c r="O1224" i="9"/>
  <c r="Z1224" i="9"/>
  <c r="G1228" i="9"/>
  <c r="R1228" i="9"/>
  <c r="I1231" i="9"/>
  <c r="T1231" i="9"/>
  <c r="K1234" i="9"/>
  <c r="V1234" i="9"/>
  <c r="J1223" i="9"/>
  <c r="U1223" i="9"/>
  <c r="M1227" i="9"/>
  <c r="X1227" i="9"/>
  <c r="N1231" i="9"/>
  <c r="Y1231" i="9"/>
  <c r="N1221" i="9"/>
  <c r="Y1221" i="9"/>
  <c r="J1227" i="9"/>
  <c r="U1227" i="9"/>
  <c r="I1233" i="9"/>
  <c r="T1233" i="9"/>
  <c r="M1223" i="9"/>
  <c r="X1223" i="9"/>
  <c r="I1229" i="9"/>
  <c r="T1229" i="9"/>
  <c r="O1234" i="9"/>
  <c r="Z1234" i="9"/>
  <c r="J1229" i="9"/>
  <c r="U1229" i="9"/>
  <c r="K1228" i="9"/>
  <c r="V1228" i="9"/>
  <c r="F1227" i="9"/>
  <c r="I1225" i="9"/>
  <c r="T1225" i="9"/>
  <c r="H1234" i="9"/>
  <c r="S1234" i="9"/>
  <c r="L1231" i="9"/>
  <c r="W1231" i="9"/>
  <c r="H1225" i="9"/>
  <c r="S1225" i="9"/>
  <c r="M1234" i="9"/>
  <c r="X1234" i="9"/>
  <c r="I1228" i="9"/>
  <c r="T1228" i="9"/>
  <c r="O1221" i="9"/>
  <c r="Z1221" i="9"/>
  <c r="H1231" i="9"/>
  <c r="S1231" i="9"/>
  <c r="L1221" i="9"/>
  <c r="W1221" i="9"/>
  <c r="O1227" i="9"/>
  <c r="Z1227" i="9"/>
  <c r="H1221" i="9"/>
  <c r="S1221" i="9"/>
  <c r="N1232" i="9"/>
  <c r="Y1232" i="9"/>
  <c r="K1229" i="9"/>
  <c r="V1229" i="9"/>
  <c r="F1234" i="9"/>
  <c r="L1227" i="9"/>
  <c r="W1227" i="9"/>
  <c r="L1219" i="9"/>
  <c r="W1219" i="9"/>
  <c r="K1227" i="9"/>
  <c r="V1227" i="9"/>
  <c r="F1232" i="9"/>
  <c r="I1222" i="9"/>
  <c r="T1222" i="9"/>
  <c r="K1233" i="9"/>
  <c r="V1233" i="9"/>
  <c r="N1228" i="9"/>
  <c r="Y1228" i="9"/>
  <c r="L1233" i="9"/>
  <c r="W1233" i="9"/>
  <c r="H1227" i="9"/>
  <c r="S1227" i="9"/>
  <c r="F1219" i="9"/>
  <c r="I1223" i="9"/>
  <c r="T1223" i="9"/>
  <c r="K1226" i="9"/>
  <c r="V1226" i="9"/>
  <c r="M1229" i="9"/>
  <c r="X1229" i="9"/>
  <c r="O1232" i="9"/>
  <c r="Z1232" i="9"/>
  <c r="I1221" i="9"/>
  <c r="T1221" i="9"/>
  <c r="J1225" i="9"/>
  <c r="U1225" i="9"/>
  <c r="N1229" i="9"/>
  <c r="Y1229" i="9"/>
  <c r="G1234" i="9"/>
  <c r="R1234" i="9"/>
  <c r="L1224" i="9"/>
  <c r="W1224" i="9"/>
  <c r="H1230" i="9"/>
  <c r="S1230" i="9"/>
  <c r="H1220" i="9"/>
  <c r="S1220" i="9"/>
  <c r="H1226" i="9"/>
  <c r="S1226" i="9"/>
  <c r="H1232" i="9"/>
  <c r="S1232" i="9"/>
  <c r="N1223" i="9"/>
  <c r="Y1223" i="9"/>
  <c r="O1222" i="9"/>
  <c r="Z1222" i="9"/>
  <c r="J1221" i="9"/>
  <c r="U1221" i="9"/>
  <c r="L1232" i="9"/>
  <c r="W1232" i="9"/>
  <c r="F1231" i="9"/>
  <c r="N1234" i="9"/>
  <c r="Y1234" i="9"/>
  <c r="J1228" i="9"/>
  <c r="U1228" i="9"/>
  <c r="F1222" i="9"/>
  <c r="K1231" i="9"/>
  <c r="V1231" i="9"/>
  <c r="G1225" i="9"/>
  <c r="R1225" i="9"/>
  <c r="G1220" i="9"/>
  <c r="R1220" i="9"/>
  <c r="J1226" i="9"/>
  <c r="U1226" i="9"/>
  <c r="M1232" i="9"/>
  <c r="X1232" i="9"/>
  <c r="G1223" i="9"/>
  <c r="R1223" i="9"/>
  <c r="H1223" i="9"/>
  <c r="S1223" i="9"/>
  <c r="K1221" i="9"/>
  <c r="V1221" i="9"/>
  <c r="N1230" i="9"/>
  <c r="Y1230" i="9"/>
  <c r="J1224" i="9"/>
  <c r="U1224" i="9"/>
  <c r="I1232" i="9"/>
  <c r="T1232" i="9"/>
  <c r="M1222" i="9"/>
  <c r="X1222" i="9"/>
  <c r="H1219" i="9"/>
  <c r="S1219" i="9"/>
  <c r="J1230" i="9"/>
  <c r="U1230" i="9"/>
  <c r="M1220" i="9"/>
  <c r="X1220" i="9"/>
  <c r="O1231" i="9"/>
  <c r="Z1231" i="9"/>
  <c r="I1230" i="9"/>
  <c r="T1230" i="9"/>
  <c r="G1219" i="9"/>
  <c r="R1219" i="9"/>
  <c r="K1222" i="9"/>
  <c r="V1222" i="9"/>
  <c r="M1225" i="9"/>
  <c r="X1225" i="9"/>
  <c r="O1228" i="9"/>
  <c r="Z1228" i="9"/>
  <c r="G1232" i="9"/>
  <c r="R1232" i="9"/>
  <c r="J1219" i="9"/>
  <c r="U1219" i="9"/>
  <c r="K1224" i="9"/>
  <c r="V1224" i="9"/>
  <c r="L1228" i="9"/>
  <c r="W1228" i="9"/>
  <c r="F1233" i="9"/>
  <c r="F1223" i="9"/>
  <c r="F1229" i="9"/>
  <c r="L1234" i="9"/>
  <c r="W1234" i="9"/>
  <c r="F1225" i="9"/>
  <c r="L1230" i="9"/>
  <c r="W1230" i="9"/>
  <c r="F1221" i="9"/>
  <c r="K1232" i="9"/>
  <c r="V1232" i="9"/>
  <c r="J1231" i="9"/>
  <c r="U1231" i="9"/>
  <c r="G1230" i="9"/>
  <c r="R1230" i="9"/>
  <c r="H1228" i="9"/>
  <c r="S1228" i="9"/>
  <c r="K1220" i="9"/>
  <c r="V1220" i="9"/>
  <c r="F1230" i="9"/>
  <c r="L1223" i="9"/>
  <c r="W1223" i="9"/>
  <c r="G1233" i="9"/>
  <c r="R1233" i="9"/>
  <c r="M1226" i="9"/>
  <c r="X1226" i="9"/>
  <c r="I1220" i="9"/>
  <c r="T1220" i="9"/>
  <c r="L1229" i="9"/>
  <c r="W1229" i="9"/>
  <c r="F1220" i="9"/>
  <c r="I1226" i="9"/>
  <c r="T1226" i="9"/>
  <c r="G1229" i="9"/>
  <c r="R1229" i="9"/>
  <c r="F1228" i="9"/>
  <c r="M1224" i="9"/>
  <c r="X1224" i="9"/>
  <c r="J1232" i="9"/>
  <c r="U1232" i="9"/>
  <c r="F1226" i="9"/>
  <c r="O1233" i="9"/>
  <c r="Z1233" i="9"/>
  <c r="O1225" i="9"/>
  <c r="Z1225" i="9"/>
  <c r="L1225" i="9"/>
  <c r="W1225" i="9"/>
  <c r="O1220" i="9"/>
  <c r="Z1220" i="9"/>
  <c r="G1227" i="9"/>
  <c r="R1227" i="9"/>
  <c r="J1222" i="9"/>
  <c r="U1222" i="9"/>
  <c r="N1220" i="9"/>
  <c r="Y1220" i="9"/>
  <c r="I1224" i="9"/>
  <c r="T1224" i="9"/>
  <c r="G1224" i="9"/>
  <c r="R1224" i="9"/>
  <c r="H1222" i="9"/>
  <c r="S1222" i="9"/>
  <c r="G1226" i="9"/>
  <c r="R1226" i="9"/>
  <c r="J1233" i="9"/>
  <c r="U1233" i="9"/>
  <c r="L1222" i="9"/>
  <c r="W1222" i="9"/>
  <c r="J1220" i="9"/>
  <c r="U1220" i="9"/>
  <c r="N1224" i="9"/>
  <c r="Y1224" i="9"/>
  <c r="I1234" i="9"/>
  <c r="T1234" i="9"/>
  <c r="M1230" i="9"/>
  <c r="X1230" i="9"/>
  <c r="I1219" i="9"/>
  <c r="T1219" i="9"/>
  <c r="I1227" i="9"/>
  <c r="T1227" i="9"/>
  <c r="L1226" i="9"/>
  <c r="W1226" i="9"/>
  <c r="M1231" i="9"/>
  <c r="X1231" i="9"/>
  <c r="O1226" i="9"/>
  <c r="Z1226" i="9"/>
  <c r="N1233" i="9"/>
  <c r="Y1233" i="9"/>
  <c r="O1229" i="9"/>
  <c r="Z1229" i="9"/>
  <c r="G1231" i="9"/>
  <c r="R1231" i="9"/>
  <c r="M1219" i="9"/>
  <c r="X1219" i="9"/>
  <c r="K1219" i="9"/>
  <c r="V1219" i="9"/>
  <c r="K1225" i="9"/>
  <c r="V1225" i="9"/>
  <c r="L1220" i="9"/>
  <c r="W1220" i="9"/>
  <c r="M1233" i="9"/>
  <c r="X1233" i="9"/>
  <c r="N1219" i="9"/>
  <c r="Y1219" i="9"/>
  <c r="N1227" i="9"/>
  <c r="Y1227" i="9"/>
  <c r="H1224" i="9"/>
  <c r="S1224" i="9"/>
  <c r="N1226" i="9"/>
  <c r="Y1226" i="9"/>
  <c r="J1234" i="9"/>
  <c r="U1234" i="9"/>
  <c r="G1221" i="9"/>
  <c r="R1221" i="9"/>
  <c r="N1222" i="9"/>
  <c r="Y1222" i="9"/>
  <c r="F1224" i="9"/>
  <c r="K1230" i="9"/>
  <c r="V1230" i="9"/>
  <c r="O1230" i="9"/>
  <c r="Z1230" i="9"/>
  <c r="G1222" i="9"/>
  <c r="R1222" i="9"/>
  <c r="N1225" i="9"/>
  <c r="Y1225" i="9"/>
  <c r="H1233" i="9"/>
  <c r="S1233" i="9"/>
  <c r="K1223" i="9"/>
  <c r="V1223" i="9"/>
  <c r="O1219" i="9"/>
  <c r="Z1219" i="9"/>
  <c r="H1229" i="9"/>
  <c r="S1229" i="9"/>
  <c r="M1228" i="9"/>
  <c r="X1228" i="9"/>
  <c r="O1223" i="9"/>
  <c r="Z1223" i="9"/>
  <c r="K1208" i="9"/>
  <c r="V1208" i="9"/>
  <c r="O1214" i="9"/>
  <c r="Z1214" i="9"/>
  <c r="I1209" i="9"/>
  <c r="T1209" i="9"/>
  <c r="M1217" i="9"/>
  <c r="X1217" i="9"/>
  <c r="G1214" i="9"/>
  <c r="R1214" i="9"/>
  <c r="G1212" i="9"/>
  <c r="R1212" i="9"/>
  <c r="I1215" i="9"/>
  <c r="T1215" i="9"/>
  <c r="K1210" i="9"/>
  <c r="V1210" i="9"/>
  <c r="K1218" i="9"/>
  <c r="V1218" i="9"/>
  <c r="N1214" i="9"/>
  <c r="Y1214" i="9"/>
  <c r="J1208" i="9"/>
  <c r="U1208" i="9"/>
  <c r="O1217" i="9"/>
  <c r="Z1217" i="9"/>
  <c r="K1211" i="9"/>
  <c r="V1211" i="9"/>
  <c r="G1205" i="9"/>
  <c r="R1205" i="9"/>
  <c r="L1214" i="9"/>
  <c r="W1214" i="9"/>
  <c r="H1208" i="9"/>
  <c r="S1208" i="9"/>
  <c r="I1203" i="9"/>
  <c r="T1203" i="9"/>
  <c r="H1211" i="9"/>
  <c r="S1211" i="9"/>
  <c r="K1217" i="9"/>
  <c r="V1217" i="9"/>
  <c r="O1207" i="9"/>
  <c r="Z1207" i="9"/>
  <c r="L1212" i="9"/>
  <c r="W1212" i="9"/>
  <c r="K1204" i="9"/>
  <c r="V1204" i="9"/>
  <c r="L1207" i="9"/>
  <c r="W1207" i="9"/>
  <c r="G1209" i="9"/>
  <c r="R1209" i="9"/>
  <c r="H1212" i="9"/>
  <c r="S1212" i="9"/>
  <c r="F1216" i="9"/>
  <c r="K1209" i="9"/>
  <c r="V1209" i="9"/>
  <c r="F1211" i="9"/>
  <c r="J1212" i="9"/>
  <c r="U1212" i="9"/>
  <c r="K1215" i="9"/>
  <c r="V1215" i="9"/>
  <c r="I1204" i="9"/>
  <c r="T1204" i="9"/>
  <c r="J1207" i="9"/>
  <c r="U1207" i="9"/>
  <c r="L1205" i="9"/>
  <c r="W1205" i="9"/>
  <c r="N1211" i="9"/>
  <c r="Y1211" i="9"/>
  <c r="F1204" i="9"/>
  <c r="H1210" i="9"/>
  <c r="S1210" i="9"/>
  <c r="I1218" i="9"/>
  <c r="T1218" i="9"/>
  <c r="L1208" i="9"/>
  <c r="W1208" i="9"/>
  <c r="M1216" i="9"/>
  <c r="X1216" i="9"/>
  <c r="F1207" i="9"/>
  <c r="F1203" i="9"/>
  <c r="G1210" i="9"/>
  <c r="R1210" i="9"/>
  <c r="K1216" i="9"/>
  <c r="V1216" i="9"/>
  <c r="I1211" i="9"/>
  <c r="T1211" i="9"/>
  <c r="M1205" i="9"/>
  <c r="X1205" i="9"/>
  <c r="O1216" i="9"/>
  <c r="Z1216" i="9"/>
  <c r="K1214" i="9"/>
  <c r="V1214" i="9"/>
  <c r="M1207" i="9"/>
  <c r="X1207" i="9"/>
  <c r="G1216" i="9"/>
  <c r="R1216" i="9"/>
  <c r="M1203" i="9"/>
  <c r="X1203" i="9"/>
  <c r="H1213" i="9"/>
  <c r="S1213" i="9"/>
  <c r="N1206" i="9"/>
  <c r="Y1206" i="9"/>
  <c r="I1216" i="9"/>
  <c r="T1216" i="9"/>
  <c r="O1209" i="9"/>
  <c r="Z1209" i="9"/>
  <c r="K1203" i="9"/>
  <c r="V1203" i="9"/>
  <c r="F1213" i="9"/>
  <c r="L1206" i="9"/>
  <c r="W1206" i="9"/>
  <c r="L1217" i="9"/>
  <c r="W1217" i="9"/>
  <c r="F1208" i="9"/>
  <c r="I1214" i="9"/>
  <c r="T1214" i="9"/>
  <c r="I1206" i="9"/>
  <c r="T1206" i="9"/>
  <c r="J1209" i="9"/>
  <c r="U1209" i="9"/>
  <c r="H1217" i="9"/>
  <c r="S1217" i="9"/>
  <c r="J1204" i="9"/>
  <c r="U1204" i="9"/>
  <c r="O1205" i="9"/>
  <c r="Z1205" i="9"/>
  <c r="F1209" i="9"/>
  <c r="L1209" i="9"/>
  <c r="W1209" i="9"/>
  <c r="M1204" i="9"/>
  <c r="X1204" i="9"/>
  <c r="H1206" i="9"/>
  <c r="S1206" i="9"/>
  <c r="H1209" i="9"/>
  <c r="S1209" i="9"/>
  <c r="O1213" i="9"/>
  <c r="Z1213" i="9"/>
  <c r="F1217" i="9"/>
  <c r="H1204" i="9"/>
  <c r="S1204" i="9"/>
  <c r="G1215" i="9"/>
  <c r="R1215" i="9"/>
  <c r="J1205" i="9"/>
  <c r="U1205" i="9"/>
  <c r="K1213" i="9"/>
  <c r="V1213" i="9"/>
  <c r="N1203" i="9"/>
  <c r="Y1203" i="9"/>
  <c r="O1211" i="9"/>
  <c r="Z1211" i="9"/>
  <c r="G1204" i="9"/>
  <c r="R1204" i="9"/>
  <c r="I1210" i="9"/>
  <c r="T1210" i="9"/>
  <c r="I1205" i="9"/>
  <c r="T1205" i="9"/>
  <c r="M1211" i="9"/>
  <c r="X1211" i="9"/>
  <c r="G1218" i="9"/>
  <c r="R1218" i="9"/>
  <c r="M1213" i="9"/>
  <c r="X1213" i="9"/>
  <c r="O1206" i="9"/>
  <c r="Z1206" i="9"/>
  <c r="G1208" i="9"/>
  <c r="R1208" i="9"/>
  <c r="I1217" i="9"/>
  <c r="T1217" i="9"/>
  <c r="K1206" i="9"/>
  <c r="V1206" i="9"/>
  <c r="L1211" i="9"/>
  <c r="W1211" i="9"/>
  <c r="M1214" i="9"/>
  <c r="X1214" i="9"/>
  <c r="N1217" i="9"/>
  <c r="Y1217" i="9"/>
  <c r="F1205" i="9"/>
  <c r="J1206" i="9"/>
  <c r="U1206" i="9"/>
  <c r="G1203" i="9"/>
  <c r="R1203" i="9"/>
  <c r="F1214" i="9"/>
  <c r="L1218" i="9"/>
  <c r="W1218" i="9"/>
  <c r="N1204" i="9"/>
  <c r="Y1204" i="9"/>
  <c r="N1218" i="9"/>
  <c r="Y1218" i="9"/>
  <c r="M1210" i="9"/>
  <c r="X1210" i="9"/>
  <c r="J1218" i="9"/>
  <c r="U1218" i="9"/>
  <c r="N1216" i="9"/>
  <c r="Y1216" i="9"/>
  <c r="H1215" i="9"/>
  <c r="S1215" i="9"/>
  <c r="L1213" i="9"/>
  <c r="W1213" i="9"/>
  <c r="I1213" i="9"/>
  <c r="T1213" i="9"/>
  <c r="O1210" i="9"/>
  <c r="Z1210" i="9"/>
  <c r="M1209" i="9"/>
  <c r="X1209" i="9"/>
  <c r="K1212" i="9"/>
  <c r="V1212" i="9"/>
  <c r="F1210" i="9"/>
  <c r="G1213" i="9"/>
  <c r="R1213" i="9"/>
  <c r="H1216" i="9"/>
  <c r="S1216" i="9"/>
  <c r="J1203" i="9"/>
  <c r="U1203" i="9"/>
  <c r="H1203" i="9"/>
  <c r="S1203" i="9"/>
  <c r="N1215" i="9"/>
  <c r="Y1215" i="9"/>
  <c r="N1210" i="9"/>
  <c r="Y1210" i="9"/>
  <c r="J1215" i="9"/>
  <c r="U1215" i="9"/>
  <c r="O1215" i="9"/>
  <c r="Z1215" i="9"/>
  <c r="L1215" i="9"/>
  <c r="W1215" i="9"/>
  <c r="K1207" i="9"/>
  <c r="V1207" i="9"/>
  <c r="F1212" i="9"/>
  <c r="J1210" i="9"/>
  <c r="U1210" i="9"/>
  <c r="N1208" i="9"/>
  <c r="Y1208" i="9"/>
  <c r="H1207" i="9"/>
  <c r="S1207" i="9"/>
  <c r="I1207" i="9"/>
  <c r="T1207" i="9"/>
  <c r="G1206" i="9"/>
  <c r="R1206" i="9"/>
  <c r="O1212" i="9"/>
  <c r="Z1212" i="9"/>
  <c r="F1218" i="9"/>
  <c r="H1205" i="9"/>
  <c r="S1205" i="9"/>
  <c r="I1208" i="9"/>
  <c r="T1208" i="9"/>
  <c r="J1211" i="9"/>
  <c r="U1211" i="9"/>
  <c r="J1214" i="9"/>
  <c r="U1214" i="9"/>
  <c r="M1212" i="9"/>
  <c r="X1212" i="9"/>
  <c r="N1207" i="9"/>
  <c r="Y1207" i="9"/>
  <c r="G1217" i="9"/>
  <c r="R1217" i="9"/>
  <c r="N1205" i="9"/>
  <c r="Y1205" i="9"/>
  <c r="J1217" i="9"/>
  <c r="U1217" i="9"/>
  <c r="F1206" i="9"/>
  <c r="N1213" i="9"/>
  <c r="Y1213" i="9"/>
  <c r="M1208" i="9"/>
  <c r="X1208" i="9"/>
  <c r="G1207" i="9"/>
  <c r="R1207" i="9"/>
  <c r="K1205" i="9"/>
  <c r="V1205" i="9"/>
  <c r="O1203" i="9"/>
  <c r="Z1203" i="9"/>
  <c r="M1215" i="9"/>
  <c r="X1215" i="9"/>
  <c r="O1208" i="9"/>
  <c r="Z1208" i="9"/>
  <c r="O1218" i="9"/>
  <c r="Z1218" i="9"/>
  <c r="J1216" i="9"/>
  <c r="U1216" i="9"/>
  <c r="L1203" i="9"/>
  <c r="W1203" i="9"/>
  <c r="M1206" i="9"/>
  <c r="X1206" i="9"/>
  <c r="N1209" i="9"/>
  <c r="Y1209" i="9"/>
  <c r="N1212" i="9"/>
  <c r="Y1212" i="9"/>
  <c r="G1211" i="9"/>
  <c r="R1211" i="9"/>
  <c r="L1204" i="9"/>
  <c r="W1204" i="9"/>
  <c r="I1212" i="9"/>
  <c r="T1212" i="9"/>
  <c r="O1204" i="9"/>
  <c r="Z1204" i="9"/>
  <c r="H1214" i="9"/>
  <c r="S1214" i="9"/>
  <c r="M1218" i="9"/>
  <c r="X1218" i="9"/>
  <c r="L1210" i="9"/>
  <c r="W1210" i="9"/>
  <c r="H1218" i="9"/>
  <c r="S1218" i="9"/>
  <c r="L1216" i="9"/>
  <c r="W1216" i="9"/>
  <c r="F1215" i="9"/>
  <c r="J1213" i="9"/>
  <c r="U1213" i="9"/>
  <c r="G1283" i="9"/>
  <c r="R1283" i="9"/>
  <c r="F1290" i="9"/>
  <c r="J1284" i="9"/>
  <c r="U1284" i="9"/>
  <c r="M1294" i="9"/>
  <c r="X1294" i="9"/>
  <c r="F1296" i="9"/>
  <c r="G1289" i="9"/>
  <c r="R1289" i="9"/>
  <c r="G1285" i="9"/>
  <c r="R1285" i="9"/>
  <c r="G1297" i="9"/>
  <c r="R1297" i="9"/>
  <c r="K1291" i="9"/>
  <c r="V1291" i="9"/>
  <c r="L1289" i="9"/>
  <c r="W1289" i="9"/>
  <c r="L1292" i="9"/>
  <c r="W1292" i="9"/>
  <c r="M1292" i="9"/>
  <c r="X1292" i="9"/>
  <c r="F1288" i="9"/>
  <c r="G1293" i="9"/>
  <c r="R1293" i="9"/>
  <c r="J1288" i="9"/>
  <c r="U1288" i="9"/>
  <c r="L1298" i="9"/>
  <c r="W1298" i="9"/>
  <c r="F1291" i="9"/>
  <c r="O1287" i="9"/>
  <c r="Z1287" i="9"/>
  <c r="I1296" i="9"/>
  <c r="T1296" i="9"/>
  <c r="H1289" i="9"/>
  <c r="S1289" i="9"/>
  <c r="L1297" i="9"/>
  <c r="W1297" i="9"/>
  <c r="O1284" i="9"/>
  <c r="Z1284" i="9"/>
  <c r="N1283" i="9"/>
  <c r="Y1283" i="9"/>
  <c r="G1298" i="9"/>
  <c r="R1298" i="9"/>
  <c r="F1295" i="9"/>
  <c r="I1287" i="9"/>
  <c r="T1287" i="9"/>
  <c r="F1298" i="9"/>
  <c r="H1296" i="9"/>
  <c r="S1296" i="9"/>
  <c r="J1293" i="9"/>
  <c r="U1293" i="9"/>
  <c r="F1283" i="9"/>
  <c r="K1286" i="9"/>
  <c r="V1286" i="9"/>
  <c r="G1290" i="9"/>
  <c r="R1290" i="9"/>
  <c r="M1288" i="9"/>
  <c r="X1288" i="9"/>
  <c r="G1295" i="9"/>
  <c r="R1295" i="9"/>
  <c r="L1285" i="9"/>
  <c r="W1285" i="9"/>
  <c r="F1292" i="9"/>
  <c r="J1298" i="9"/>
  <c r="U1298" i="9"/>
  <c r="L1286" i="9"/>
  <c r="W1286" i="9"/>
  <c r="H1298" i="9"/>
  <c r="S1298" i="9"/>
  <c r="N1287" i="9"/>
  <c r="Y1287" i="9"/>
  <c r="O1288" i="9"/>
  <c r="Z1288" i="9"/>
  <c r="K1292" i="9"/>
  <c r="V1292" i="9"/>
  <c r="J1286" i="9"/>
  <c r="U1286" i="9"/>
  <c r="K1297" i="9"/>
  <c r="V1297" i="9"/>
  <c r="J1287" i="9"/>
  <c r="U1287" i="9"/>
  <c r="I1288" i="9"/>
  <c r="T1288" i="9"/>
  <c r="N1294" i="9"/>
  <c r="Y1294" i="9"/>
  <c r="O1294" i="9"/>
  <c r="Z1294" i="9"/>
  <c r="N1298" i="9"/>
  <c r="Y1298" i="9"/>
  <c r="N1292" i="9"/>
  <c r="Y1292" i="9"/>
  <c r="L1283" i="9"/>
  <c r="W1283" i="9"/>
  <c r="L1288" i="9"/>
  <c r="W1288" i="9"/>
  <c r="K1295" i="9"/>
  <c r="V1295" i="9"/>
  <c r="F1294" i="9"/>
  <c r="O1295" i="9"/>
  <c r="Z1295" i="9"/>
  <c r="J1294" i="9"/>
  <c r="U1294" i="9"/>
  <c r="I1292" i="9"/>
  <c r="T1292" i="9"/>
  <c r="N1286" i="9"/>
  <c r="Y1286" i="9"/>
  <c r="M1297" i="9"/>
  <c r="X1297" i="9"/>
  <c r="H1286" i="9"/>
  <c r="S1286" i="9"/>
  <c r="I1285" i="9"/>
  <c r="T1285" i="9"/>
  <c r="F1285" i="9"/>
  <c r="M1293" i="9"/>
  <c r="X1293" i="9"/>
  <c r="F1297" i="9"/>
  <c r="N1295" i="9"/>
  <c r="Y1295" i="9"/>
  <c r="M1289" i="9"/>
  <c r="X1289" i="9"/>
  <c r="O1286" i="9"/>
  <c r="Z1286" i="9"/>
  <c r="I1290" i="9"/>
  <c r="T1290" i="9"/>
  <c r="I1298" i="9"/>
  <c r="T1298" i="9"/>
  <c r="J1290" i="9"/>
  <c r="U1290" i="9"/>
  <c r="H1288" i="9"/>
  <c r="S1288" i="9"/>
  <c r="N1289" i="9"/>
  <c r="Y1289" i="9"/>
  <c r="J1285" i="9"/>
  <c r="U1285" i="9"/>
  <c r="G1292" i="9"/>
  <c r="R1292" i="9"/>
  <c r="I1289" i="9"/>
  <c r="T1289" i="9"/>
  <c r="G1284" i="9"/>
  <c r="R1284" i="9"/>
  <c r="I1284" i="9"/>
  <c r="T1284" i="9"/>
  <c r="O1297" i="9"/>
  <c r="Z1297" i="9"/>
  <c r="J1296" i="9"/>
  <c r="U1296" i="9"/>
  <c r="M1284" i="9"/>
  <c r="X1284" i="9"/>
  <c r="H1283" i="9"/>
  <c r="S1283" i="9"/>
  <c r="H1297" i="9"/>
  <c r="S1297" i="9"/>
  <c r="O1296" i="9"/>
  <c r="Z1296" i="9"/>
  <c r="N1285" i="9"/>
  <c r="Y1285" i="9"/>
  <c r="K1283" i="9"/>
  <c r="V1283" i="9"/>
  <c r="I1294" i="9"/>
  <c r="T1294" i="9"/>
  <c r="H1291" i="9"/>
  <c r="S1291" i="9"/>
  <c r="K1288" i="9"/>
  <c r="V1288" i="9"/>
  <c r="F1293" i="9"/>
  <c r="K1294" i="9"/>
  <c r="V1294" i="9"/>
  <c r="H1292" i="9"/>
  <c r="S1292" i="9"/>
  <c r="I1297" i="9"/>
  <c r="T1297" i="9"/>
  <c r="L1290" i="9"/>
  <c r="W1290" i="9"/>
  <c r="J1289" i="9"/>
  <c r="U1289" i="9"/>
  <c r="I1283" i="9"/>
  <c r="T1283" i="9"/>
  <c r="M1283" i="9"/>
  <c r="X1283" i="9"/>
  <c r="O1283" i="9"/>
  <c r="Z1283" i="9"/>
  <c r="O1291" i="9"/>
  <c r="Z1291" i="9"/>
  <c r="F1284" i="9"/>
  <c r="L1293" i="9"/>
  <c r="W1293" i="9"/>
  <c r="J1295" i="9"/>
  <c r="U1295" i="9"/>
  <c r="H1294" i="9"/>
  <c r="S1294" i="9"/>
  <c r="M1285" i="9"/>
  <c r="X1285" i="9"/>
  <c r="G1286" i="9"/>
  <c r="R1286" i="9"/>
  <c r="G1291" i="9"/>
  <c r="R1291" i="9"/>
  <c r="I1286" i="9"/>
  <c r="T1286" i="9"/>
  <c r="I1291" i="9"/>
  <c r="T1291" i="9"/>
  <c r="M1286" i="9"/>
  <c r="X1286" i="9"/>
  <c r="H1285" i="9"/>
  <c r="S1285" i="9"/>
  <c r="K1287" i="9"/>
  <c r="V1287" i="9"/>
  <c r="F1286" i="9"/>
  <c r="M1287" i="9"/>
  <c r="X1287" i="9"/>
  <c r="K1290" i="9"/>
  <c r="V1290" i="9"/>
  <c r="O1285" i="9"/>
  <c r="Z1285" i="9"/>
  <c r="M1298" i="9"/>
  <c r="X1298" i="9"/>
  <c r="H1293" i="9"/>
  <c r="S1293" i="9"/>
  <c r="J1283" i="9"/>
  <c r="U1283" i="9"/>
  <c r="N1293" i="9"/>
  <c r="Y1293" i="9"/>
  <c r="G1288" i="9"/>
  <c r="R1288" i="9"/>
  <c r="J1297" i="9"/>
  <c r="U1297" i="9"/>
  <c r="O1290" i="9"/>
  <c r="Z1290" i="9"/>
  <c r="H1284" i="9"/>
  <c r="S1284" i="9"/>
  <c r="G1296" i="9"/>
  <c r="R1296" i="9"/>
  <c r="K1296" i="9"/>
  <c r="V1296" i="9"/>
  <c r="K1285" i="9"/>
  <c r="V1285" i="9"/>
  <c r="K1293" i="9"/>
  <c r="V1293" i="9"/>
  <c r="H1287" i="9"/>
  <c r="S1287" i="9"/>
  <c r="H1295" i="9"/>
  <c r="S1295" i="9"/>
  <c r="F1289" i="9"/>
  <c r="K1298" i="9"/>
  <c r="V1298" i="9"/>
  <c r="O1298" i="9"/>
  <c r="Z1298" i="9"/>
  <c r="J1292" i="9"/>
  <c r="U1292" i="9"/>
  <c r="L1287" i="9"/>
  <c r="W1287" i="9"/>
  <c r="O1293" i="9"/>
  <c r="Z1293" i="9"/>
  <c r="K1289" i="9"/>
  <c r="V1289" i="9"/>
  <c r="L1291" i="9"/>
  <c r="W1291" i="9"/>
  <c r="G1294" i="9"/>
  <c r="R1294" i="9"/>
  <c r="L1295" i="9"/>
  <c r="W1295" i="9"/>
  <c r="K1284" i="9"/>
  <c r="V1284" i="9"/>
  <c r="O1292" i="9"/>
  <c r="Z1292" i="9"/>
  <c r="G1287" i="9"/>
  <c r="R1287" i="9"/>
  <c r="M1295" i="9"/>
  <c r="X1295" i="9"/>
  <c r="N1290" i="9"/>
  <c r="Y1290" i="9"/>
  <c r="I1293" i="9"/>
  <c r="T1293" i="9"/>
  <c r="M1296" i="9"/>
  <c r="X1296" i="9"/>
  <c r="J1291" i="9"/>
  <c r="U1291" i="9"/>
  <c r="O1289" i="9"/>
  <c r="Z1289" i="9"/>
  <c r="H1290" i="9"/>
  <c r="S1290" i="9"/>
  <c r="L1296" i="9"/>
  <c r="W1296" i="9"/>
  <c r="N1297" i="9"/>
  <c r="Y1297" i="9"/>
  <c r="L1294" i="9"/>
  <c r="W1294" i="9"/>
  <c r="N1288" i="9"/>
  <c r="Y1288" i="9"/>
  <c r="N1291" i="9"/>
  <c r="Y1291" i="9"/>
  <c r="M1290" i="9"/>
  <c r="X1290" i="9"/>
  <c r="N1284" i="9"/>
  <c r="Y1284" i="9"/>
  <c r="M1291" i="9"/>
  <c r="X1291" i="9"/>
  <c r="L1284" i="9"/>
  <c r="W1284" i="9"/>
  <c r="F1287" i="9"/>
  <c r="N1296" i="9"/>
  <c r="Y1296" i="9"/>
  <c r="I1295" i="9"/>
  <c r="T1295" i="9"/>
  <c r="I1269" i="9"/>
  <c r="T1269" i="9"/>
  <c r="L1282" i="9"/>
  <c r="W1282" i="9"/>
  <c r="J1271" i="9"/>
  <c r="U1271" i="9"/>
  <c r="G1271" i="9"/>
  <c r="R1271" i="9"/>
  <c r="J1279" i="9"/>
  <c r="U1279" i="9"/>
  <c r="N1267" i="9"/>
  <c r="Y1267" i="9"/>
  <c r="O1271" i="9"/>
  <c r="Z1271" i="9"/>
  <c r="J1277" i="9"/>
  <c r="U1277" i="9"/>
  <c r="J1273" i="9"/>
  <c r="U1273" i="9"/>
  <c r="L1268" i="9"/>
  <c r="W1268" i="9"/>
  <c r="N1280" i="9"/>
  <c r="Y1280" i="9"/>
  <c r="H1282" i="9"/>
  <c r="S1282" i="9"/>
  <c r="O1278" i="9"/>
  <c r="Z1278" i="9"/>
  <c r="G1267" i="9"/>
  <c r="R1267" i="9"/>
  <c r="J1269" i="9"/>
  <c r="U1269" i="9"/>
  <c r="L1280" i="9"/>
  <c r="W1280" i="9"/>
  <c r="N1269" i="9"/>
  <c r="Y1269" i="9"/>
  <c r="J1281" i="9"/>
  <c r="U1281" i="9"/>
  <c r="L1273" i="9"/>
  <c r="W1273" i="9"/>
  <c r="L1277" i="9"/>
  <c r="W1277" i="9"/>
  <c r="G1279" i="9"/>
  <c r="R1279" i="9"/>
  <c r="H1270" i="9"/>
  <c r="S1270" i="9"/>
  <c r="F1279" i="9"/>
  <c r="K1267" i="9"/>
  <c r="V1267" i="9"/>
  <c r="F1267" i="9"/>
  <c r="K1272" i="9"/>
  <c r="V1272" i="9"/>
  <c r="K1282" i="9"/>
  <c r="V1282" i="9"/>
  <c r="M1281" i="9"/>
  <c r="X1281" i="9"/>
  <c r="L1281" i="9"/>
  <c r="W1281" i="9"/>
  <c r="H1271" i="9"/>
  <c r="S1271" i="9"/>
  <c r="M1270" i="9"/>
  <c r="X1270" i="9"/>
  <c r="H1269" i="9"/>
  <c r="S1269" i="9"/>
  <c r="J1268" i="9"/>
  <c r="U1268" i="9"/>
  <c r="H1267" i="9"/>
  <c r="S1267" i="9"/>
  <c r="J1270" i="9"/>
  <c r="U1270" i="9"/>
  <c r="L1269" i="9"/>
  <c r="W1269" i="9"/>
  <c r="H1277" i="9"/>
  <c r="S1277" i="9"/>
  <c r="M1268" i="9"/>
  <c r="X1268" i="9"/>
  <c r="J1276" i="9"/>
  <c r="U1276" i="9"/>
  <c r="O1267" i="9"/>
  <c r="Z1267" i="9"/>
  <c r="F1269" i="9"/>
  <c r="J1275" i="9"/>
  <c r="U1275" i="9"/>
  <c r="N1281" i="9"/>
  <c r="Y1281" i="9"/>
  <c r="H1275" i="9"/>
  <c r="S1275" i="9"/>
  <c r="M1274" i="9"/>
  <c r="X1274" i="9"/>
  <c r="N1272" i="9"/>
  <c r="Y1272" i="9"/>
  <c r="N1278" i="9"/>
  <c r="Y1278" i="9"/>
  <c r="I1270" i="9"/>
  <c r="T1270" i="9"/>
  <c r="F1278" i="9"/>
  <c r="K1269" i="9"/>
  <c r="V1269" i="9"/>
  <c r="H1274" i="9"/>
  <c r="S1274" i="9"/>
  <c r="J1280" i="9"/>
  <c r="U1280" i="9"/>
  <c r="K1279" i="9"/>
  <c r="V1279" i="9"/>
  <c r="N1277" i="9"/>
  <c r="Y1277" i="9"/>
  <c r="H1278" i="9"/>
  <c r="S1278" i="9"/>
  <c r="N1274" i="9"/>
  <c r="Y1274" i="9"/>
  <c r="O1274" i="9"/>
  <c r="Z1274" i="9"/>
  <c r="O1282" i="9"/>
  <c r="Z1282" i="9"/>
  <c r="H1268" i="9"/>
  <c r="S1268" i="9"/>
  <c r="F1281" i="9"/>
  <c r="I1268" i="9"/>
  <c r="T1268" i="9"/>
  <c r="L1267" i="9"/>
  <c r="W1267" i="9"/>
  <c r="I1273" i="9"/>
  <c r="T1273" i="9"/>
  <c r="F1274" i="9"/>
  <c r="O1268" i="9"/>
  <c r="Z1268" i="9"/>
  <c r="H1279" i="9"/>
  <c r="S1279" i="9"/>
  <c r="H1281" i="9"/>
  <c r="S1281" i="9"/>
  <c r="I1277" i="9"/>
  <c r="T1277" i="9"/>
  <c r="O1281" i="9"/>
  <c r="Z1281" i="9"/>
  <c r="O1273" i="9"/>
  <c r="Z1273" i="9"/>
  <c r="G1275" i="9"/>
  <c r="R1275" i="9"/>
  <c r="M1280" i="9"/>
  <c r="X1280" i="9"/>
  <c r="F1270" i="9"/>
  <c r="H1272" i="9"/>
  <c r="S1272" i="9"/>
  <c r="H1280" i="9"/>
  <c r="S1280" i="9"/>
  <c r="J1274" i="9"/>
  <c r="U1274" i="9"/>
  <c r="G1277" i="9"/>
  <c r="R1277" i="9"/>
  <c r="M1276" i="9"/>
  <c r="X1276" i="9"/>
  <c r="I1282" i="9"/>
  <c r="T1282" i="9"/>
  <c r="L1271" i="9"/>
  <c r="W1271" i="9"/>
  <c r="N1279" i="9"/>
  <c r="Y1279" i="9"/>
  <c r="F1271" i="9"/>
  <c r="F1276" i="9"/>
  <c r="J1278" i="9"/>
  <c r="U1278" i="9"/>
  <c r="O1279" i="9"/>
  <c r="Z1279" i="9"/>
  <c r="L1272" i="9"/>
  <c r="W1272" i="9"/>
  <c r="F1280" i="9"/>
  <c r="I1275" i="9"/>
  <c r="T1275" i="9"/>
  <c r="I1280" i="9"/>
  <c r="T1280" i="9"/>
  <c r="M1269" i="9"/>
  <c r="X1269" i="9"/>
  <c r="M1275" i="9"/>
  <c r="X1275" i="9"/>
  <c r="F1282" i="9"/>
  <c r="O1276" i="9"/>
  <c r="Z1276" i="9"/>
  <c r="M1279" i="9"/>
  <c r="X1279" i="9"/>
  <c r="I1276" i="9"/>
  <c r="T1276" i="9"/>
  <c r="G1269" i="9"/>
  <c r="R1269" i="9"/>
  <c r="O1272" i="9"/>
  <c r="Z1272" i="9"/>
  <c r="K1278" i="9"/>
  <c r="V1278" i="9"/>
  <c r="G1274" i="9"/>
  <c r="R1274" i="9"/>
  <c r="N1273" i="9"/>
  <c r="Y1273" i="9"/>
  <c r="G1281" i="9"/>
  <c r="R1281" i="9"/>
  <c r="K1280" i="9"/>
  <c r="V1280" i="9"/>
  <c r="K1268" i="9"/>
  <c r="V1268" i="9"/>
  <c r="K1274" i="9"/>
  <c r="V1274" i="9"/>
  <c r="G1280" i="9"/>
  <c r="R1280" i="9"/>
  <c r="I1267" i="9"/>
  <c r="T1267" i="9"/>
  <c r="H1276" i="9"/>
  <c r="S1276" i="9"/>
  <c r="G1270" i="9"/>
  <c r="R1270" i="9"/>
  <c r="N1271" i="9"/>
  <c r="Y1271" i="9"/>
  <c r="F1273" i="9"/>
  <c r="M1267" i="9"/>
  <c r="X1267" i="9"/>
  <c r="I1271" i="9"/>
  <c r="T1271" i="9"/>
  <c r="L1274" i="9"/>
  <c r="W1274" i="9"/>
  <c r="N1268" i="9"/>
  <c r="Y1268" i="9"/>
  <c r="I1272" i="9"/>
  <c r="T1272" i="9"/>
  <c r="M1271" i="9"/>
  <c r="X1271" i="9"/>
  <c r="K1277" i="9"/>
  <c r="V1277" i="9"/>
  <c r="O1270" i="9"/>
  <c r="Z1270" i="9"/>
  <c r="M1277" i="9"/>
  <c r="X1277" i="9"/>
  <c r="M1272" i="9"/>
  <c r="X1272" i="9"/>
  <c r="N1276" i="9"/>
  <c r="Y1276" i="9"/>
  <c r="J1282" i="9"/>
  <c r="U1282" i="9"/>
  <c r="K1281" i="9"/>
  <c r="V1281" i="9"/>
  <c r="N1270" i="9"/>
  <c r="Y1270" i="9"/>
  <c r="I1274" i="9"/>
  <c r="T1274" i="9"/>
  <c r="K1271" i="9"/>
  <c r="V1271" i="9"/>
  <c r="J1267" i="9"/>
  <c r="U1267" i="9"/>
  <c r="F1277" i="9"/>
  <c r="M1282" i="9"/>
  <c r="X1282" i="9"/>
  <c r="O1269" i="9"/>
  <c r="Z1269" i="9"/>
  <c r="F1268" i="9"/>
  <c r="J1272" i="9"/>
  <c r="U1272" i="9"/>
  <c r="O1275" i="9"/>
  <c r="Z1275" i="9"/>
  <c r="O1277" i="9"/>
  <c r="Z1277" i="9"/>
  <c r="L1279" i="9"/>
  <c r="W1279" i="9"/>
  <c r="I1278" i="9"/>
  <c r="T1278" i="9"/>
  <c r="F1272" i="9"/>
  <c r="N1282" i="9"/>
  <c r="Y1282" i="9"/>
  <c r="G1282" i="9"/>
  <c r="R1282" i="9"/>
  <c r="M1273" i="9"/>
  <c r="X1273" i="9"/>
  <c r="L1275" i="9"/>
  <c r="W1275" i="9"/>
  <c r="L1276" i="9"/>
  <c r="W1276" i="9"/>
  <c r="G1276" i="9"/>
  <c r="R1276" i="9"/>
  <c r="H1273" i="9"/>
  <c r="S1273" i="9"/>
  <c r="K1273" i="9"/>
  <c r="V1273" i="9"/>
  <c r="K1276" i="9"/>
  <c r="V1276" i="9"/>
  <c r="G1272" i="9"/>
  <c r="R1272" i="9"/>
  <c r="I1281" i="9"/>
  <c r="T1281" i="9"/>
  <c r="K1275" i="9"/>
  <c r="V1275" i="9"/>
  <c r="N1275" i="9"/>
  <c r="Y1275" i="9"/>
  <c r="M1278" i="9"/>
  <c r="X1278" i="9"/>
  <c r="G1278" i="9"/>
  <c r="R1278" i="9"/>
  <c r="L1270" i="9"/>
  <c r="W1270" i="9"/>
  <c r="O1280" i="9"/>
  <c r="Z1280" i="9"/>
  <c r="F1275" i="9"/>
  <c r="K1270" i="9"/>
  <c r="V1270" i="9"/>
  <c r="G1273" i="9"/>
  <c r="R1273" i="9"/>
  <c r="I1279" i="9"/>
  <c r="T1279" i="9"/>
  <c r="L1278" i="9"/>
  <c r="W1278" i="9"/>
  <c r="G1268" i="9"/>
  <c r="R1268" i="9"/>
  <c r="F1187" i="9"/>
  <c r="J1187" i="9"/>
  <c r="U1187" i="9"/>
  <c r="I1187" i="9"/>
  <c r="T1187" i="9"/>
  <c r="N1193" i="9"/>
  <c r="Y1193" i="9"/>
  <c r="H1194" i="9"/>
  <c r="S1194" i="9"/>
  <c r="M1202" i="9"/>
  <c r="X1202" i="9"/>
  <c r="J1192" i="9"/>
  <c r="U1192" i="9"/>
  <c r="N1189" i="9"/>
  <c r="Y1189" i="9"/>
  <c r="J1202" i="9"/>
  <c r="U1202" i="9"/>
  <c r="H1201" i="9"/>
  <c r="S1201" i="9"/>
  <c r="M1199" i="9"/>
  <c r="X1199" i="9"/>
  <c r="M1193" i="9"/>
  <c r="X1193" i="9"/>
  <c r="N1194" i="9"/>
  <c r="Y1194" i="9"/>
  <c r="J1198" i="9"/>
  <c r="U1198" i="9"/>
  <c r="F1201" i="9"/>
  <c r="J1197" i="9"/>
  <c r="U1197" i="9"/>
  <c r="O1197" i="9"/>
  <c r="Z1197" i="9"/>
  <c r="H1193" i="9"/>
  <c r="S1193" i="9"/>
  <c r="H1187" i="9"/>
  <c r="S1187" i="9"/>
  <c r="F1194" i="9"/>
  <c r="K1196" i="9"/>
  <c r="V1196" i="9"/>
  <c r="K1188" i="9"/>
  <c r="V1188" i="9"/>
  <c r="L1200" i="9"/>
  <c r="W1200" i="9"/>
  <c r="J1194" i="9"/>
  <c r="U1194" i="9"/>
  <c r="L1189" i="9"/>
  <c r="W1189" i="9"/>
  <c r="O1202" i="9"/>
  <c r="Z1202" i="9"/>
  <c r="K1195" i="9"/>
  <c r="V1195" i="9"/>
  <c r="M1187" i="9"/>
  <c r="X1187" i="9"/>
  <c r="J1199" i="9"/>
  <c r="U1199" i="9"/>
  <c r="G1188" i="9"/>
  <c r="R1188" i="9"/>
  <c r="F1191" i="9"/>
  <c r="K1197" i="9"/>
  <c r="V1197" i="9"/>
  <c r="F1198" i="9"/>
  <c r="F1190" i="9"/>
  <c r="M1188" i="9"/>
  <c r="X1188" i="9"/>
  <c r="I1192" i="9"/>
  <c r="T1192" i="9"/>
  <c r="F1202" i="9"/>
  <c r="L1198" i="9"/>
  <c r="W1198" i="9"/>
  <c r="H1196" i="9"/>
  <c r="S1196" i="9"/>
  <c r="O1190" i="9"/>
  <c r="Z1190" i="9"/>
  <c r="L1196" i="9"/>
  <c r="W1196" i="9"/>
  <c r="N1190" i="9"/>
  <c r="Y1190" i="9"/>
  <c r="G1197" i="9"/>
  <c r="R1197" i="9"/>
  <c r="J1189" i="9"/>
  <c r="U1189" i="9"/>
  <c r="J1200" i="9"/>
  <c r="U1200" i="9"/>
  <c r="F1188" i="9"/>
  <c r="N1196" i="9"/>
  <c r="Y1196" i="9"/>
  <c r="L1190" i="9"/>
  <c r="W1190" i="9"/>
  <c r="M1189" i="9"/>
  <c r="X1189" i="9"/>
  <c r="N1191" i="9"/>
  <c r="Y1191" i="9"/>
  <c r="J1196" i="9"/>
  <c r="U1196" i="9"/>
  <c r="H1197" i="9"/>
  <c r="S1197" i="9"/>
  <c r="K1194" i="9"/>
  <c r="V1194" i="9"/>
  <c r="F1199" i="9"/>
  <c r="L1202" i="9"/>
  <c r="W1202" i="9"/>
  <c r="H1200" i="9"/>
  <c r="S1200" i="9"/>
  <c r="H1190" i="9"/>
  <c r="S1190" i="9"/>
  <c r="K1199" i="9"/>
  <c r="V1199" i="9"/>
  <c r="O1187" i="9"/>
  <c r="Z1187" i="9"/>
  <c r="M1192" i="9"/>
  <c r="X1192" i="9"/>
  <c r="I1194" i="9"/>
  <c r="T1194" i="9"/>
  <c r="L1193" i="9"/>
  <c r="W1193" i="9"/>
  <c r="I1193" i="9"/>
  <c r="T1193" i="9"/>
  <c r="H1192" i="9"/>
  <c r="S1192" i="9"/>
  <c r="L1191" i="9"/>
  <c r="W1191" i="9"/>
  <c r="H1195" i="9"/>
  <c r="S1195" i="9"/>
  <c r="M1191" i="9"/>
  <c r="X1191" i="9"/>
  <c r="H1198" i="9"/>
  <c r="S1198" i="9"/>
  <c r="H1199" i="9"/>
  <c r="S1199" i="9"/>
  <c r="I1200" i="9"/>
  <c r="T1200" i="9"/>
  <c r="I1197" i="9"/>
  <c r="T1197" i="9"/>
  <c r="L1188" i="9"/>
  <c r="W1188" i="9"/>
  <c r="G1202" i="9"/>
  <c r="R1202" i="9"/>
  <c r="I1190" i="9"/>
  <c r="T1190" i="9"/>
  <c r="L1201" i="9"/>
  <c r="W1201" i="9"/>
  <c r="M1201" i="9"/>
  <c r="X1201" i="9"/>
  <c r="O1198" i="9"/>
  <c r="Z1198" i="9"/>
  <c r="F1197" i="9"/>
  <c r="N1195" i="9"/>
  <c r="Y1195" i="9"/>
  <c r="L1197" i="9"/>
  <c r="W1197" i="9"/>
  <c r="I1196" i="9"/>
  <c r="T1196" i="9"/>
  <c r="G1195" i="9"/>
  <c r="R1195" i="9"/>
  <c r="L1187" i="9"/>
  <c r="W1187" i="9"/>
  <c r="G1190" i="9"/>
  <c r="R1190" i="9"/>
  <c r="G1194" i="9"/>
  <c r="R1194" i="9"/>
  <c r="I1189" i="9"/>
  <c r="T1189" i="9"/>
  <c r="G1187" i="9"/>
  <c r="R1187" i="9"/>
  <c r="G1191" i="9"/>
  <c r="R1191" i="9"/>
  <c r="O1195" i="9"/>
  <c r="Z1195" i="9"/>
  <c r="L1199" i="9"/>
  <c r="W1199" i="9"/>
  <c r="O1199" i="9"/>
  <c r="Z1199" i="9"/>
  <c r="M1198" i="9"/>
  <c r="X1198" i="9"/>
  <c r="M1195" i="9"/>
  <c r="X1195" i="9"/>
  <c r="O1188" i="9"/>
  <c r="Z1188" i="9"/>
  <c r="I1191" i="9"/>
  <c r="T1191" i="9"/>
  <c r="K1192" i="9"/>
  <c r="V1192" i="9"/>
  <c r="J1193" i="9"/>
  <c r="U1193" i="9"/>
  <c r="O1192" i="9"/>
  <c r="Z1192" i="9"/>
  <c r="N1188" i="9"/>
  <c r="Y1188" i="9"/>
  <c r="G1189" i="9"/>
  <c r="R1189" i="9"/>
  <c r="M1194" i="9"/>
  <c r="X1194" i="9"/>
  <c r="K1201" i="9"/>
  <c r="V1201" i="9"/>
  <c r="O1200" i="9"/>
  <c r="Z1200" i="9"/>
  <c r="N1201" i="9"/>
  <c r="Y1201" i="9"/>
  <c r="F1196" i="9"/>
  <c r="K1198" i="9"/>
  <c r="V1198" i="9"/>
  <c r="N1202" i="9"/>
  <c r="Y1202" i="9"/>
  <c r="G1198" i="9"/>
  <c r="R1198" i="9"/>
  <c r="I1202" i="9"/>
  <c r="T1202" i="9"/>
  <c r="O1193" i="9"/>
  <c r="Z1193" i="9"/>
  <c r="H1202" i="9"/>
  <c r="S1202" i="9"/>
  <c r="J1188" i="9"/>
  <c r="U1188" i="9"/>
  <c r="J1190" i="9"/>
  <c r="U1190" i="9"/>
  <c r="J1201" i="9"/>
  <c r="U1201" i="9"/>
  <c r="I1188" i="9"/>
  <c r="T1188" i="9"/>
  <c r="N1192" i="9"/>
  <c r="Y1192" i="9"/>
  <c r="I1198" i="9"/>
  <c r="T1198" i="9"/>
  <c r="F1192" i="9"/>
  <c r="H1189" i="9"/>
  <c r="S1189" i="9"/>
  <c r="L1194" i="9"/>
  <c r="W1194" i="9"/>
  <c r="H1188" i="9"/>
  <c r="S1188" i="9"/>
  <c r="K1191" i="9"/>
  <c r="V1191" i="9"/>
  <c r="M1196" i="9"/>
  <c r="X1196" i="9"/>
  <c r="N1197" i="9"/>
  <c r="Y1197" i="9"/>
  <c r="G1192" i="9"/>
  <c r="R1192" i="9"/>
  <c r="G1199" i="9"/>
  <c r="R1199" i="9"/>
  <c r="M1190" i="9"/>
  <c r="X1190" i="9"/>
  <c r="F1189" i="9"/>
  <c r="L1192" i="9"/>
  <c r="W1192" i="9"/>
  <c r="N1200" i="9"/>
  <c r="Y1200" i="9"/>
  <c r="N1198" i="9"/>
  <c r="Y1198" i="9"/>
  <c r="I1199" i="9"/>
  <c r="T1199" i="9"/>
  <c r="M1200" i="9"/>
  <c r="X1200" i="9"/>
  <c r="K1202" i="9"/>
  <c r="V1202" i="9"/>
  <c r="M1197" i="9"/>
  <c r="X1197" i="9"/>
  <c r="J1191" i="9"/>
  <c r="U1191" i="9"/>
  <c r="H1191" i="9"/>
  <c r="S1191" i="9"/>
  <c r="O1189" i="9"/>
  <c r="Z1189" i="9"/>
  <c r="O1191" i="9"/>
  <c r="Z1191" i="9"/>
  <c r="O1201" i="9"/>
  <c r="Z1201" i="9"/>
  <c r="J1195" i="9"/>
  <c r="U1195" i="9"/>
  <c r="I1195" i="9"/>
  <c r="T1195" i="9"/>
  <c r="K1190" i="9"/>
  <c r="V1190" i="9"/>
  <c r="N1187" i="9"/>
  <c r="Y1187" i="9"/>
  <c r="K1189" i="9"/>
  <c r="V1189" i="9"/>
  <c r="K1193" i="9"/>
  <c r="V1193" i="9"/>
  <c r="K1187" i="9"/>
  <c r="V1187" i="9"/>
  <c r="G1200" i="9"/>
  <c r="R1200" i="9"/>
  <c r="O1196" i="9"/>
  <c r="Z1196" i="9"/>
  <c r="O1194" i="9"/>
  <c r="Z1194" i="9"/>
  <c r="F1195" i="9"/>
  <c r="G1201" i="9"/>
  <c r="R1201" i="9"/>
  <c r="G1193" i="9"/>
  <c r="R1193" i="9"/>
  <c r="F1200" i="9"/>
  <c r="I1201" i="9"/>
  <c r="T1201" i="9"/>
  <c r="L1195" i="9"/>
  <c r="W1195" i="9"/>
  <c r="F1193" i="9"/>
  <c r="K1200" i="9"/>
  <c r="V1200" i="9"/>
  <c r="G1196" i="9"/>
  <c r="R1196" i="9"/>
  <c r="N1199" i="9"/>
  <c r="Y1199" i="9"/>
  <c r="E88" i="6"/>
  <c r="L136" i="5"/>
  <c r="K594" i="9"/>
  <c r="V594" i="9"/>
  <c r="P3" i="9"/>
  <c r="Q3" i="9"/>
  <c r="E85" i="6"/>
  <c r="M133" i="5"/>
  <c r="L578" i="9"/>
  <c r="W578" i="9"/>
  <c r="L562" i="9"/>
  <c r="W562" i="9"/>
  <c r="P61" i="5"/>
  <c r="O91" i="5"/>
  <c r="O130" i="5"/>
  <c r="P47" i="5"/>
  <c r="P54" i="5"/>
  <c r="O77" i="5"/>
  <c r="O88" i="5"/>
  <c r="P48" i="5"/>
  <c r="P55" i="5"/>
  <c r="O89" i="5"/>
  <c r="P50" i="5"/>
  <c r="P57" i="5"/>
  <c r="O83" i="5"/>
  <c r="O84" i="5"/>
  <c r="P45" i="5"/>
  <c r="O81" i="5"/>
  <c r="O102" i="5"/>
  <c r="P46" i="5"/>
  <c r="O90" i="5"/>
  <c r="O129" i="5"/>
  <c r="O80" i="5"/>
  <c r="O78" i="5"/>
  <c r="P44" i="5"/>
  <c r="P43" i="5"/>
  <c r="P51" i="5"/>
  <c r="P1151" i="9"/>
  <c r="P1141" i="9"/>
  <c r="O79" i="5"/>
  <c r="P1178" i="9"/>
  <c r="P1173" i="9"/>
  <c r="P1142" i="9"/>
  <c r="P1171" i="9"/>
  <c r="P1183" i="9"/>
  <c r="P1143" i="9"/>
  <c r="P1144" i="9"/>
  <c r="P1148" i="9"/>
  <c r="P1153" i="9"/>
  <c r="G1155" i="9"/>
  <c r="R1155" i="9"/>
  <c r="F1155" i="9"/>
  <c r="Q1155" i="9"/>
  <c r="L1156" i="9"/>
  <c r="W1156" i="9"/>
  <c r="M1157" i="9"/>
  <c r="X1157" i="9"/>
  <c r="K1158" i="9"/>
  <c r="V1158" i="9"/>
  <c r="I1159" i="9"/>
  <c r="T1159" i="9"/>
  <c r="G1160" i="9"/>
  <c r="R1160" i="9"/>
  <c r="O1160" i="9"/>
  <c r="Z1160" i="9"/>
  <c r="M1161" i="9"/>
  <c r="X1161" i="9"/>
  <c r="K1162" i="9"/>
  <c r="V1162" i="9"/>
  <c r="I1163" i="9"/>
  <c r="T1163" i="9"/>
  <c r="G1164" i="9"/>
  <c r="R1164" i="9"/>
  <c r="O1164" i="9"/>
  <c r="Z1164" i="9"/>
  <c r="M1165" i="9"/>
  <c r="X1165" i="9"/>
  <c r="K1166" i="9"/>
  <c r="V1166" i="9"/>
  <c r="I1167" i="9"/>
  <c r="T1167" i="9"/>
  <c r="G1168" i="9"/>
  <c r="R1168" i="9"/>
  <c r="O1168" i="9"/>
  <c r="Z1168" i="9"/>
  <c r="M1169" i="9"/>
  <c r="X1169" i="9"/>
  <c r="K1170" i="9"/>
  <c r="V1170" i="9"/>
  <c r="J1155" i="9"/>
  <c r="U1155" i="9"/>
  <c r="F1157" i="9"/>
  <c r="Q1157" i="9"/>
  <c r="N1157" i="9"/>
  <c r="Y1157" i="9"/>
  <c r="L1158" i="9"/>
  <c r="W1158" i="9"/>
  <c r="J1159" i="9"/>
  <c r="U1159" i="9"/>
  <c r="H1160" i="9"/>
  <c r="S1160" i="9"/>
  <c r="F1161" i="9"/>
  <c r="Q1161" i="9"/>
  <c r="N1161" i="9"/>
  <c r="Y1161" i="9"/>
  <c r="L1162" i="9"/>
  <c r="W1162" i="9"/>
  <c r="J1163" i="9"/>
  <c r="U1163" i="9"/>
  <c r="H1164" i="9"/>
  <c r="S1164" i="9"/>
  <c r="F1165" i="9"/>
  <c r="Q1165" i="9"/>
  <c r="N1165" i="9"/>
  <c r="Y1165" i="9"/>
  <c r="L1166" i="9"/>
  <c r="W1166" i="9"/>
  <c r="J1167" i="9"/>
  <c r="U1167" i="9"/>
  <c r="H1168" i="9"/>
  <c r="S1168" i="9"/>
  <c r="F1169" i="9"/>
  <c r="Q1169" i="9"/>
  <c r="N1169" i="9"/>
  <c r="Y1169" i="9"/>
  <c r="L1170" i="9"/>
  <c r="W1170" i="9"/>
  <c r="H1156" i="9"/>
  <c r="S1156" i="9"/>
  <c r="H1158" i="9"/>
  <c r="S1158" i="9"/>
  <c r="N1159" i="9"/>
  <c r="Y1159" i="9"/>
  <c r="J1161" i="9"/>
  <c r="U1161" i="9"/>
  <c r="F1163" i="9"/>
  <c r="Q1163" i="9"/>
  <c r="L1164" i="9"/>
  <c r="W1164" i="9"/>
  <c r="H1166" i="9"/>
  <c r="S1166" i="9"/>
  <c r="N1167" i="9"/>
  <c r="Y1167" i="9"/>
  <c r="J1169" i="9"/>
  <c r="U1169" i="9"/>
  <c r="I1157" i="9"/>
  <c r="T1157" i="9"/>
  <c r="O1158" i="9"/>
  <c r="Z1158" i="9"/>
  <c r="K1160" i="9"/>
  <c r="V1160" i="9"/>
  <c r="G1162" i="9"/>
  <c r="R1162" i="9"/>
  <c r="M1163" i="9"/>
  <c r="X1163" i="9"/>
  <c r="I1165" i="9"/>
  <c r="T1165" i="9"/>
  <c r="O1166" i="9"/>
  <c r="Z1166" i="9"/>
  <c r="K1168" i="9"/>
  <c r="V1168" i="9"/>
  <c r="G1170" i="9"/>
  <c r="R1170" i="9"/>
  <c r="J1157" i="9"/>
  <c r="U1157" i="9"/>
  <c r="F1159" i="9"/>
  <c r="Q1159" i="9"/>
  <c r="L1160" i="9"/>
  <c r="W1160" i="9"/>
  <c r="H1162" i="9"/>
  <c r="S1162" i="9"/>
  <c r="N1163" i="9"/>
  <c r="Y1163" i="9"/>
  <c r="J1165" i="9"/>
  <c r="U1165" i="9"/>
  <c r="F1167" i="9"/>
  <c r="Q1167" i="9"/>
  <c r="L1168" i="9"/>
  <c r="W1168" i="9"/>
  <c r="H1170" i="9"/>
  <c r="S1170" i="9"/>
  <c r="N1155" i="9"/>
  <c r="Y1155" i="9"/>
  <c r="G1158" i="9"/>
  <c r="R1158" i="9"/>
  <c r="M1159" i="9"/>
  <c r="X1159" i="9"/>
  <c r="I1161" i="9"/>
  <c r="T1161" i="9"/>
  <c r="O1162" i="9"/>
  <c r="Z1162" i="9"/>
  <c r="K1164" i="9"/>
  <c r="V1164" i="9"/>
  <c r="G1166" i="9"/>
  <c r="R1166" i="9"/>
  <c r="M1167" i="9"/>
  <c r="X1167" i="9"/>
  <c r="I1169" i="9"/>
  <c r="T1169" i="9"/>
  <c r="O1170" i="9"/>
  <c r="Z1170" i="9"/>
  <c r="G1156" i="9"/>
  <c r="R1156" i="9"/>
  <c r="J1170" i="9"/>
  <c r="U1170" i="9"/>
  <c r="N1168" i="9"/>
  <c r="Y1168" i="9"/>
  <c r="H1167" i="9"/>
  <c r="S1167" i="9"/>
  <c r="L1165" i="9"/>
  <c r="W1165" i="9"/>
  <c r="F1164" i="9"/>
  <c r="Q1164" i="9"/>
  <c r="J1162" i="9"/>
  <c r="U1162" i="9"/>
  <c r="N1160" i="9"/>
  <c r="Y1160" i="9"/>
  <c r="H1159" i="9"/>
  <c r="S1159" i="9"/>
  <c r="L1157" i="9"/>
  <c r="W1157" i="9"/>
  <c r="F1156" i="9"/>
  <c r="Q1156" i="9"/>
  <c r="I1170" i="9"/>
  <c r="T1170" i="9"/>
  <c r="M1168" i="9"/>
  <c r="X1168" i="9"/>
  <c r="G1167" i="9"/>
  <c r="R1167" i="9"/>
  <c r="K1165" i="9"/>
  <c r="V1165" i="9"/>
  <c r="O1163" i="9"/>
  <c r="Z1163" i="9"/>
  <c r="I1162" i="9"/>
  <c r="T1162" i="9"/>
  <c r="M1160" i="9"/>
  <c r="X1160" i="9"/>
  <c r="G1159" i="9"/>
  <c r="R1159" i="9"/>
  <c r="K1157" i="9"/>
  <c r="V1157" i="9"/>
  <c r="O1155" i="9"/>
  <c r="Z1155" i="9"/>
  <c r="O1156" i="9"/>
  <c r="Z1156" i="9"/>
  <c r="I1155" i="9"/>
  <c r="T1155" i="9"/>
  <c r="L1169" i="9"/>
  <c r="W1169" i="9"/>
  <c r="F1168" i="9"/>
  <c r="Q1168" i="9"/>
  <c r="J1166" i="9"/>
  <c r="U1166" i="9"/>
  <c r="N1164" i="9"/>
  <c r="Y1164" i="9"/>
  <c r="H1163" i="9"/>
  <c r="S1163" i="9"/>
  <c r="L1161" i="9"/>
  <c r="W1161" i="9"/>
  <c r="F1160" i="9"/>
  <c r="Q1160" i="9"/>
  <c r="J1158" i="9"/>
  <c r="U1158" i="9"/>
  <c r="N1156" i="9"/>
  <c r="Y1156" i="9"/>
  <c r="H1155" i="9"/>
  <c r="S1155" i="9"/>
  <c r="K1169" i="9"/>
  <c r="V1169" i="9"/>
  <c r="O1167" i="9"/>
  <c r="Z1167" i="9"/>
  <c r="I1166" i="9"/>
  <c r="T1166" i="9"/>
  <c r="M1164" i="9"/>
  <c r="X1164" i="9"/>
  <c r="G1163" i="9"/>
  <c r="R1163" i="9"/>
  <c r="K1161" i="9"/>
  <c r="V1161" i="9"/>
  <c r="O1159" i="9"/>
  <c r="Z1159" i="9"/>
  <c r="I1158" i="9"/>
  <c r="T1158" i="9"/>
  <c r="M1156" i="9"/>
  <c r="X1156" i="9"/>
  <c r="M1155" i="9"/>
  <c r="X1155" i="9"/>
  <c r="J1168" i="9"/>
  <c r="U1168" i="9"/>
  <c r="H1165" i="9"/>
  <c r="S1165" i="9"/>
  <c r="F1162" i="9"/>
  <c r="Q1162" i="9"/>
  <c r="N1158" i="9"/>
  <c r="Y1158" i="9"/>
  <c r="L1155" i="9"/>
  <c r="W1155" i="9"/>
  <c r="I1168" i="9"/>
  <c r="T1168" i="9"/>
  <c r="G1165" i="9"/>
  <c r="R1165" i="9"/>
  <c r="O1161" i="9"/>
  <c r="Z1161" i="9"/>
  <c r="M1158" i="9"/>
  <c r="X1158" i="9"/>
  <c r="K1155" i="9"/>
  <c r="V1155" i="9"/>
  <c r="N1170" i="9"/>
  <c r="Y1170" i="9"/>
  <c r="L1167" i="9"/>
  <c r="W1167" i="9"/>
  <c r="J1164" i="9"/>
  <c r="U1164" i="9"/>
  <c r="H1161" i="9"/>
  <c r="S1161" i="9"/>
  <c r="F1158" i="9"/>
  <c r="Q1158" i="9"/>
  <c r="M1170" i="9"/>
  <c r="X1170" i="9"/>
  <c r="K1167" i="9"/>
  <c r="V1167" i="9"/>
  <c r="I1164" i="9"/>
  <c r="T1164" i="9"/>
  <c r="G1161" i="9"/>
  <c r="R1161" i="9"/>
  <c r="O1157" i="9"/>
  <c r="Z1157" i="9"/>
  <c r="F1170" i="9"/>
  <c r="Q1170" i="9"/>
  <c r="N1166" i="9"/>
  <c r="Y1166" i="9"/>
  <c r="L1163" i="9"/>
  <c r="W1163" i="9"/>
  <c r="J1160" i="9"/>
  <c r="U1160" i="9"/>
  <c r="H1157" i="9"/>
  <c r="S1157" i="9"/>
  <c r="O1169" i="9"/>
  <c r="Z1169" i="9"/>
  <c r="M1166" i="9"/>
  <c r="X1166" i="9"/>
  <c r="K1163" i="9"/>
  <c r="V1163" i="9"/>
  <c r="I1160" i="9"/>
  <c r="T1160" i="9"/>
  <c r="G1157" i="9"/>
  <c r="R1157" i="9"/>
  <c r="K1156" i="9"/>
  <c r="V1156" i="9"/>
  <c r="H1169" i="9"/>
  <c r="S1169" i="9"/>
  <c r="F1166" i="9"/>
  <c r="Q1166" i="9"/>
  <c r="N1162" i="9"/>
  <c r="Y1162" i="9"/>
  <c r="L1159" i="9"/>
  <c r="W1159" i="9"/>
  <c r="J1156" i="9"/>
  <c r="U1156" i="9"/>
  <c r="G1169" i="9"/>
  <c r="R1169" i="9"/>
  <c r="O1165" i="9"/>
  <c r="Z1165" i="9"/>
  <c r="M1162" i="9"/>
  <c r="X1162" i="9"/>
  <c r="K1159" i="9"/>
  <c r="V1159" i="9"/>
  <c r="I1156" i="9"/>
  <c r="T1156" i="9"/>
  <c r="P1172" i="9"/>
  <c r="P1179" i="9"/>
  <c r="P1185" i="9"/>
  <c r="P1177" i="9"/>
  <c r="P1184" i="9"/>
  <c r="P65" i="5"/>
  <c r="P72" i="5"/>
  <c r="P1140" i="9"/>
  <c r="P1146" i="9"/>
  <c r="P1149" i="9"/>
  <c r="F1123" i="9"/>
  <c r="Q1123" i="9"/>
  <c r="K1138" i="9"/>
  <c r="V1138" i="9"/>
  <c r="O1136" i="9"/>
  <c r="Z1136" i="9"/>
  <c r="I1135" i="9"/>
  <c r="T1135" i="9"/>
  <c r="M1133" i="9"/>
  <c r="X1133" i="9"/>
  <c r="G1132" i="9"/>
  <c r="R1132" i="9"/>
  <c r="K1130" i="9"/>
  <c r="V1130" i="9"/>
  <c r="O1128" i="9"/>
  <c r="Z1128" i="9"/>
  <c r="I1127" i="9"/>
  <c r="T1127" i="9"/>
  <c r="M1125" i="9"/>
  <c r="X1125" i="9"/>
  <c r="G1124" i="9"/>
  <c r="R1124" i="9"/>
  <c r="J1138" i="9"/>
  <c r="U1138" i="9"/>
  <c r="N1136" i="9"/>
  <c r="Y1136" i="9"/>
  <c r="H1135" i="9"/>
  <c r="S1135" i="9"/>
  <c r="L1133" i="9"/>
  <c r="W1133" i="9"/>
  <c r="F1132" i="9"/>
  <c r="Q1132" i="9"/>
  <c r="J1130" i="9"/>
  <c r="U1130" i="9"/>
  <c r="N1128" i="9"/>
  <c r="Y1128" i="9"/>
  <c r="H1127" i="9"/>
  <c r="S1127" i="9"/>
  <c r="L1125" i="9"/>
  <c r="W1125" i="9"/>
  <c r="F1124" i="9"/>
  <c r="Q1124" i="9"/>
  <c r="I1138" i="9"/>
  <c r="T1138" i="9"/>
  <c r="M1136" i="9"/>
  <c r="X1136" i="9"/>
  <c r="G1135" i="9"/>
  <c r="R1135" i="9"/>
  <c r="K1133" i="9"/>
  <c r="V1133" i="9"/>
  <c r="O1131" i="9"/>
  <c r="Z1131" i="9"/>
  <c r="I1130" i="9"/>
  <c r="T1130" i="9"/>
  <c r="M1128" i="9"/>
  <c r="X1128" i="9"/>
  <c r="G1127" i="9"/>
  <c r="R1127" i="9"/>
  <c r="K1125" i="9"/>
  <c r="V1125" i="9"/>
  <c r="O1123" i="9"/>
  <c r="Z1123" i="9"/>
  <c r="H1138" i="9"/>
  <c r="S1138" i="9"/>
  <c r="L1136" i="9"/>
  <c r="W1136" i="9"/>
  <c r="F1135" i="9"/>
  <c r="Q1135" i="9"/>
  <c r="J1133" i="9"/>
  <c r="U1133" i="9"/>
  <c r="N1131" i="9"/>
  <c r="Y1131" i="9"/>
  <c r="H1130" i="9"/>
  <c r="S1130" i="9"/>
  <c r="L1128" i="9"/>
  <c r="W1128" i="9"/>
  <c r="F1127" i="9"/>
  <c r="Q1127" i="9"/>
  <c r="J1125" i="9"/>
  <c r="U1125" i="9"/>
  <c r="N1123" i="9"/>
  <c r="Y1123" i="9"/>
  <c r="O1138" i="9"/>
  <c r="Z1138" i="9"/>
  <c r="K1136" i="9"/>
  <c r="V1136" i="9"/>
  <c r="K1134" i="9"/>
  <c r="V1134" i="9"/>
  <c r="K1132" i="9"/>
  <c r="V1132" i="9"/>
  <c r="G1130" i="9"/>
  <c r="R1130" i="9"/>
  <c r="G1128" i="9"/>
  <c r="R1128" i="9"/>
  <c r="G1126" i="9"/>
  <c r="R1126" i="9"/>
  <c r="M1123" i="9"/>
  <c r="X1123" i="9"/>
  <c r="L1137" i="9"/>
  <c r="W1137" i="9"/>
  <c r="L1135" i="9"/>
  <c r="W1135" i="9"/>
  <c r="H1133" i="9"/>
  <c r="S1133" i="9"/>
  <c r="H1131" i="9"/>
  <c r="S1131" i="9"/>
  <c r="H1129" i="9"/>
  <c r="S1129" i="9"/>
  <c r="N1126" i="9"/>
  <c r="Y1126" i="9"/>
  <c r="N1124" i="9"/>
  <c r="Y1124" i="9"/>
  <c r="M1138" i="9"/>
  <c r="X1138" i="9"/>
  <c r="I1136" i="9"/>
  <c r="T1136" i="9"/>
  <c r="I1134" i="9"/>
  <c r="T1134" i="9"/>
  <c r="I1132" i="9"/>
  <c r="T1132" i="9"/>
  <c r="O1129" i="9"/>
  <c r="Z1129" i="9"/>
  <c r="O1127" i="9"/>
  <c r="Z1127" i="9"/>
  <c r="O1125" i="9"/>
  <c r="Z1125" i="9"/>
  <c r="K1123" i="9"/>
  <c r="V1123" i="9"/>
  <c r="J1137" i="9"/>
  <c r="U1137" i="9"/>
  <c r="J1135" i="9"/>
  <c r="U1135" i="9"/>
  <c r="F1133" i="9"/>
  <c r="Q1133" i="9"/>
  <c r="F1131" i="9"/>
  <c r="Q1131" i="9"/>
  <c r="F1129" i="9"/>
  <c r="Q1129" i="9"/>
  <c r="L1126" i="9"/>
  <c r="W1126" i="9"/>
  <c r="L1124" i="9"/>
  <c r="W1124" i="9"/>
  <c r="G1138" i="9"/>
  <c r="R1138" i="9"/>
  <c r="G1134" i="9"/>
  <c r="R1134" i="9"/>
  <c r="M1129" i="9"/>
  <c r="X1129" i="9"/>
  <c r="I1125" i="9"/>
  <c r="T1125" i="9"/>
  <c r="N1134" i="9"/>
  <c r="Y1134" i="9"/>
  <c r="N1130" i="9"/>
  <c r="Y1130" i="9"/>
  <c r="J1126" i="9"/>
  <c r="U1126" i="9"/>
  <c r="O1137" i="9"/>
  <c r="Z1137" i="9"/>
  <c r="O1133" i="9"/>
  <c r="Z1133" i="9"/>
  <c r="K1129" i="9"/>
  <c r="V1129" i="9"/>
  <c r="G1125" i="9"/>
  <c r="R1125" i="9"/>
  <c r="L1134" i="9"/>
  <c r="W1134" i="9"/>
  <c r="L1130" i="9"/>
  <c r="W1130" i="9"/>
  <c r="H1124" i="9"/>
  <c r="S1124" i="9"/>
  <c r="M1137" i="9"/>
  <c r="X1137" i="9"/>
  <c r="M1135" i="9"/>
  <c r="X1135" i="9"/>
  <c r="I1133" i="9"/>
  <c r="T1133" i="9"/>
  <c r="I1131" i="9"/>
  <c r="T1131" i="9"/>
  <c r="I1129" i="9"/>
  <c r="T1129" i="9"/>
  <c r="O1126" i="9"/>
  <c r="Z1126" i="9"/>
  <c r="O1124" i="9"/>
  <c r="Z1124" i="9"/>
  <c r="N1138" i="9"/>
  <c r="Y1138" i="9"/>
  <c r="J1136" i="9"/>
  <c r="U1136" i="9"/>
  <c r="J1134" i="9"/>
  <c r="U1134" i="9"/>
  <c r="J1132" i="9"/>
  <c r="U1132" i="9"/>
  <c r="F1130" i="9"/>
  <c r="Q1130" i="9"/>
  <c r="F1128" i="9"/>
  <c r="Q1128" i="9"/>
  <c r="F1126" i="9"/>
  <c r="Q1126" i="9"/>
  <c r="L1123" i="9"/>
  <c r="W1123" i="9"/>
  <c r="K1137" i="9"/>
  <c r="V1137" i="9"/>
  <c r="K1135" i="9"/>
  <c r="V1135" i="9"/>
  <c r="G1133" i="9"/>
  <c r="R1133" i="9"/>
  <c r="G1131" i="9"/>
  <c r="R1131" i="9"/>
  <c r="G1129" i="9"/>
  <c r="R1129" i="9"/>
  <c r="M1126" i="9"/>
  <c r="X1126" i="9"/>
  <c r="M1124" i="9"/>
  <c r="X1124" i="9"/>
  <c r="L1138" i="9"/>
  <c r="W1138" i="9"/>
  <c r="H1136" i="9"/>
  <c r="S1136" i="9"/>
  <c r="H1134" i="9"/>
  <c r="S1134" i="9"/>
  <c r="H1132" i="9"/>
  <c r="S1132" i="9"/>
  <c r="N1129" i="9"/>
  <c r="Y1129" i="9"/>
  <c r="N1127" i="9"/>
  <c r="Y1127" i="9"/>
  <c r="N1125" i="9"/>
  <c r="Y1125" i="9"/>
  <c r="J1123" i="9"/>
  <c r="U1123" i="9"/>
  <c r="I1137" i="9"/>
  <c r="T1137" i="9"/>
  <c r="O1134" i="9"/>
  <c r="Z1134" i="9"/>
  <c r="O1132" i="9"/>
  <c r="Z1132" i="9"/>
  <c r="O1130" i="9"/>
  <c r="Z1130" i="9"/>
  <c r="K1128" i="9"/>
  <c r="V1128" i="9"/>
  <c r="K1126" i="9"/>
  <c r="V1126" i="9"/>
  <c r="K1124" i="9"/>
  <c r="V1124" i="9"/>
  <c r="F1138" i="9"/>
  <c r="Q1138" i="9"/>
  <c r="F1136" i="9"/>
  <c r="Q1136" i="9"/>
  <c r="F1134" i="9"/>
  <c r="Q1134" i="9"/>
  <c r="L1131" i="9"/>
  <c r="W1131" i="9"/>
  <c r="L1129" i="9"/>
  <c r="W1129" i="9"/>
  <c r="L1127" i="9"/>
  <c r="W1127" i="9"/>
  <c r="H1125" i="9"/>
  <c r="S1125" i="9"/>
  <c r="H1123" i="9"/>
  <c r="S1123" i="9"/>
  <c r="G1137" i="9"/>
  <c r="R1137" i="9"/>
  <c r="M1134" i="9"/>
  <c r="X1134" i="9"/>
  <c r="M1132" i="9"/>
  <c r="X1132" i="9"/>
  <c r="M1130" i="9"/>
  <c r="X1130" i="9"/>
  <c r="I1128" i="9"/>
  <c r="T1128" i="9"/>
  <c r="I1126" i="9"/>
  <c r="T1126" i="9"/>
  <c r="I1124" i="9"/>
  <c r="T1124" i="9"/>
  <c r="N1137" i="9"/>
  <c r="Y1137" i="9"/>
  <c r="N1135" i="9"/>
  <c r="Y1135" i="9"/>
  <c r="N1133" i="9"/>
  <c r="Y1133" i="9"/>
  <c r="J1131" i="9"/>
  <c r="U1131" i="9"/>
  <c r="J1129" i="9"/>
  <c r="U1129" i="9"/>
  <c r="J1127" i="9"/>
  <c r="U1127" i="9"/>
  <c r="F1125" i="9"/>
  <c r="Q1125" i="9"/>
  <c r="G1136" i="9"/>
  <c r="R1136" i="9"/>
  <c r="M1131" i="9"/>
  <c r="X1131" i="9"/>
  <c r="M1127" i="9"/>
  <c r="X1127" i="9"/>
  <c r="I1123" i="9"/>
  <c r="T1123" i="9"/>
  <c r="H1137" i="9"/>
  <c r="S1137" i="9"/>
  <c r="N1132" i="9"/>
  <c r="Y1132" i="9"/>
  <c r="J1128" i="9"/>
  <c r="U1128" i="9"/>
  <c r="J1124" i="9"/>
  <c r="U1124" i="9"/>
  <c r="O1135" i="9"/>
  <c r="Z1135" i="9"/>
  <c r="K1131" i="9"/>
  <c r="V1131" i="9"/>
  <c r="K1127" i="9"/>
  <c r="V1127" i="9"/>
  <c r="G1123" i="9"/>
  <c r="R1123" i="9"/>
  <c r="F1137" i="9"/>
  <c r="Q1137" i="9"/>
  <c r="L1132" i="9"/>
  <c r="W1132" i="9"/>
  <c r="H1128" i="9"/>
  <c r="S1128" i="9"/>
  <c r="H1126" i="9"/>
  <c r="S1126" i="9"/>
  <c r="P1186" i="9"/>
  <c r="P1180" i="9"/>
  <c r="P1174" i="9"/>
  <c r="P1139" i="9"/>
  <c r="P1152" i="9"/>
  <c r="P1150" i="9"/>
  <c r="P1154" i="9"/>
  <c r="P1147" i="9"/>
  <c r="P1145" i="9"/>
  <c r="P1181" i="9"/>
  <c r="P1175" i="9"/>
  <c r="P1182" i="9"/>
  <c r="P1176" i="9"/>
  <c r="O82" i="5"/>
  <c r="P64" i="5"/>
  <c r="P71" i="5"/>
  <c r="P60" i="5"/>
  <c r="P63" i="5"/>
  <c r="P80" i="5"/>
  <c r="P62" i="5"/>
  <c r="P66" i="5"/>
  <c r="P73" i="5"/>
  <c r="P67" i="5"/>
  <c r="P74" i="5"/>
  <c r="P68" i="5"/>
  <c r="F771" i="9"/>
  <c r="Q771" i="9"/>
  <c r="H777" i="9"/>
  <c r="S777" i="9"/>
  <c r="K780" i="9"/>
  <c r="V780" i="9"/>
  <c r="K783" i="9"/>
  <c r="V783" i="9"/>
  <c r="L786" i="9"/>
  <c r="W786" i="9"/>
  <c r="N773" i="9"/>
  <c r="Y773" i="9"/>
  <c r="J774" i="9"/>
  <c r="U774" i="9"/>
  <c r="M772" i="9"/>
  <c r="X772" i="9"/>
  <c r="F780" i="9"/>
  <c r="Q780" i="9"/>
  <c r="I783" i="9"/>
  <c r="T783" i="9"/>
  <c r="I786" i="9"/>
  <c r="T786" i="9"/>
  <c r="K773" i="9"/>
  <c r="V773" i="9"/>
  <c r="L776" i="9"/>
  <c r="W776" i="9"/>
  <c r="J784" i="9"/>
  <c r="U784" i="9"/>
  <c r="L771" i="9"/>
  <c r="W771" i="9"/>
  <c r="O774" i="9"/>
  <c r="Z774" i="9"/>
  <c r="O777" i="9"/>
  <c r="Z777" i="9"/>
  <c r="F781" i="9"/>
  <c r="Q781" i="9"/>
  <c r="N772" i="9"/>
  <c r="Y772" i="9"/>
  <c r="O783" i="9"/>
  <c r="Z783" i="9"/>
  <c r="L772" i="9"/>
  <c r="W772" i="9"/>
  <c r="G782" i="9"/>
  <c r="R782" i="9"/>
  <c r="H785" i="9"/>
  <c r="S785" i="9"/>
  <c r="J772" i="9"/>
  <c r="U772" i="9"/>
  <c r="M775" i="9"/>
  <c r="X775" i="9"/>
  <c r="M778" i="9"/>
  <c r="X778" i="9"/>
  <c r="N781" i="9"/>
  <c r="Y781" i="9"/>
  <c r="F784" i="9"/>
  <c r="Q784" i="9"/>
  <c r="O780" i="9"/>
  <c r="Z780" i="9"/>
  <c r="J777" i="9"/>
  <c r="U777" i="9"/>
  <c r="H775" i="9"/>
  <c r="S775" i="9"/>
  <c r="K778" i="9"/>
  <c r="V778" i="9"/>
  <c r="K781" i="9"/>
  <c r="V781" i="9"/>
  <c r="L784" i="9"/>
  <c r="W784" i="9"/>
  <c r="N771" i="9"/>
  <c r="Y771" i="9"/>
  <c r="L779" i="9"/>
  <c r="W779" i="9"/>
  <c r="O782" i="9"/>
  <c r="Z782" i="9"/>
  <c r="O785" i="9"/>
  <c r="Z785" i="9"/>
  <c r="G773" i="9"/>
  <c r="R773" i="9"/>
  <c r="H776" i="9"/>
  <c r="S776" i="9"/>
  <c r="I779" i="9"/>
  <c r="T779" i="9"/>
  <c r="I774" i="9"/>
  <c r="T774" i="9"/>
  <c r="L783" i="9"/>
  <c r="W783" i="9"/>
  <c r="O786" i="9"/>
  <c r="Z786" i="9"/>
  <c r="G774" i="9"/>
  <c r="R774" i="9"/>
  <c r="G777" i="9"/>
  <c r="R777" i="9"/>
  <c r="H780" i="9"/>
  <c r="S780" i="9"/>
  <c r="N780" i="9"/>
  <c r="Y780" i="9"/>
  <c r="G776" i="9"/>
  <c r="R776" i="9"/>
  <c r="J786" i="9"/>
  <c r="U786" i="9"/>
  <c r="L773" i="9"/>
  <c r="W773" i="9"/>
  <c r="O776" i="9"/>
  <c r="Z776" i="9"/>
  <c r="O779" i="9"/>
  <c r="Z779" i="9"/>
  <c r="F783" i="9"/>
  <c r="Q783" i="9"/>
  <c r="O775" i="9"/>
  <c r="Z775" i="9"/>
  <c r="F778" i="9"/>
  <c r="Q778" i="9"/>
  <c r="I781" i="9"/>
  <c r="T781" i="9"/>
  <c r="I784" i="9"/>
  <c r="T784" i="9"/>
  <c r="K771" i="9"/>
  <c r="V771" i="9"/>
  <c r="L774" i="9"/>
  <c r="W774" i="9"/>
  <c r="M777" i="9"/>
  <c r="X777" i="9"/>
  <c r="G771" i="9"/>
  <c r="R771" i="9"/>
  <c r="N778" i="9"/>
  <c r="Y778" i="9"/>
  <c r="G785" i="9"/>
  <c r="R785" i="9"/>
  <c r="I772" i="9"/>
  <c r="T772" i="9"/>
  <c r="J775" i="9"/>
  <c r="U775" i="9"/>
  <c r="F776" i="9"/>
  <c r="Q776" i="9"/>
  <c r="K777" i="9"/>
  <c r="V777" i="9"/>
  <c r="L781" i="9"/>
  <c r="W781" i="9"/>
  <c r="O784" i="9"/>
  <c r="Z784" i="9"/>
  <c r="G772" i="9"/>
  <c r="R772" i="9"/>
  <c r="G775" i="9"/>
  <c r="R775" i="9"/>
  <c r="H778" i="9"/>
  <c r="S778" i="9"/>
  <c r="F786" i="9"/>
  <c r="Q786" i="9"/>
  <c r="H773" i="9"/>
  <c r="S773" i="9"/>
  <c r="K776" i="9"/>
  <c r="V776" i="9"/>
  <c r="K779" i="9"/>
  <c r="V779" i="9"/>
  <c r="L782" i="9"/>
  <c r="W782" i="9"/>
  <c r="J782" i="9"/>
  <c r="U782" i="9"/>
  <c r="K785" i="9"/>
  <c r="V785" i="9"/>
  <c r="H774" i="9"/>
  <c r="S774" i="9"/>
  <c r="F779" i="9"/>
  <c r="Q779" i="9"/>
  <c r="J771" i="9"/>
  <c r="U771" i="9"/>
  <c r="G781" i="9"/>
  <c r="R781" i="9"/>
  <c r="N774" i="9"/>
  <c r="Y774" i="9"/>
  <c r="N779" i="9"/>
  <c r="Y779" i="9"/>
  <c r="M773" i="9"/>
  <c r="X773" i="9"/>
  <c r="H783" i="9"/>
  <c r="S783" i="9"/>
  <c r="L777" i="9"/>
  <c r="W777" i="9"/>
  <c r="O773" i="9"/>
  <c r="Z773" i="9"/>
  <c r="M783" i="9"/>
  <c r="X783" i="9"/>
  <c r="H782" i="9"/>
  <c r="S782" i="9"/>
  <c r="F773" i="9"/>
  <c r="Q773" i="9"/>
  <c r="M782" i="9"/>
  <c r="X782" i="9"/>
  <c r="J776" i="9"/>
  <c r="U776" i="9"/>
  <c r="J781" i="9"/>
  <c r="U781" i="9"/>
  <c r="I775" i="9"/>
  <c r="T775" i="9"/>
  <c r="N784" i="9"/>
  <c r="Y784" i="9"/>
  <c r="H779" i="9"/>
  <c r="S779" i="9"/>
  <c r="K775" i="9"/>
  <c r="V775" i="9"/>
  <c r="I785" i="9"/>
  <c r="T785" i="9"/>
  <c r="G779" i="9"/>
  <c r="R779" i="9"/>
  <c r="N777" i="9"/>
  <c r="Y777" i="9"/>
  <c r="M771" i="9"/>
  <c r="X771" i="9"/>
  <c r="H781" i="9"/>
  <c r="S781" i="9"/>
  <c r="H786" i="9"/>
  <c r="S786" i="9"/>
  <c r="G780" i="9"/>
  <c r="R780" i="9"/>
  <c r="L780" i="9"/>
  <c r="W780" i="9"/>
  <c r="L785" i="9"/>
  <c r="W785" i="9"/>
  <c r="I780" i="9"/>
  <c r="T780" i="9"/>
  <c r="F774" i="9"/>
  <c r="Q774" i="9"/>
  <c r="M780" i="9"/>
  <c r="X780" i="9"/>
  <c r="J779" i="9"/>
  <c r="U779" i="9"/>
  <c r="I773" i="9"/>
  <c r="T773" i="9"/>
  <c r="N782" i="9"/>
  <c r="Y782" i="9"/>
  <c r="O771" i="9"/>
  <c r="Z771" i="9"/>
  <c r="M781" i="9"/>
  <c r="X781" i="9"/>
  <c r="J785" i="9"/>
  <c r="U785" i="9"/>
  <c r="H772" i="9"/>
  <c r="S772" i="9"/>
  <c r="O781" i="9"/>
  <c r="Z781" i="9"/>
  <c r="L775" i="9"/>
  <c r="W775" i="9"/>
  <c r="O772" i="9"/>
  <c r="Z772" i="9"/>
  <c r="H784" i="9"/>
  <c r="S784" i="9"/>
  <c r="G778" i="9"/>
  <c r="R778" i="9"/>
  <c r="N775" i="9"/>
  <c r="Y775" i="9"/>
  <c r="M776" i="9"/>
  <c r="X776" i="9"/>
  <c r="K786" i="9"/>
  <c r="V786" i="9"/>
  <c r="I782" i="9"/>
  <c r="T782" i="9"/>
  <c r="F777" i="9"/>
  <c r="Q777" i="9"/>
  <c r="M786" i="9"/>
  <c r="X786" i="9"/>
  <c r="J780" i="9"/>
  <c r="U780" i="9"/>
  <c r="K774" i="9"/>
  <c r="V774" i="9"/>
  <c r="N785" i="9"/>
  <c r="Y785" i="9"/>
  <c r="M779" i="9"/>
  <c r="X779" i="9"/>
  <c r="N783" i="9"/>
  <c r="Y783" i="9"/>
  <c r="I778" i="9"/>
  <c r="T778" i="9"/>
  <c r="F772" i="9"/>
  <c r="Q772" i="9"/>
  <c r="I771" i="9"/>
  <c r="T771" i="9"/>
  <c r="L778" i="9"/>
  <c r="W778" i="9"/>
  <c r="K772" i="9"/>
  <c r="V772" i="9"/>
  <c r="F782" i="9"/>
  <c r="Q782" i="9"/>
  <c r="K782" i="9"/>
  <c r="V782" i="9"/>
  <c r="M774" i="9"/>
  <c r="X774" i="9"/>
  <c r="K784" i="9"/>
  <c r="V784" i="9"/>
  <c r="J773" i="9"/>
  <c r="U773" i="9"/>
  <c r="G783" i="9"/>
  <c r="R783" i="9"/>
  <c r="N776" i="9"/>
  <c r="Y776" i="9"/>
  <c r="G784" i="9"/>
  <c r="R784" i="9"/>
  <c r="J783" i="9"/>
  <c r="U783" i="9"/>
  <c r="I777" i="9"/>
  <c r="T777" i="9"/>
  <c r="N786" i="9"/>
  <c r="Y786" i="9"/>
  <c r="M785" i="9"/>
  <c r="X785" i="9"/>
  <c r="I776" i="9"/>
  <c r="T776" i="9"/>
  <c r="G786" i="9"/>
  <c r="R786" i="9"/>
  <c r="F775" i="9"/>
  <c r="Q775" i="9"/>
  <c r="M784" i="9"/>
  <c r="X784" i="9"/>
  <c r="J778" i="9"/>
  <c r="U778" i="9"/>
  <c r="H771" i="9"/>
  <c r="S771" i="9"/>
  <c r="F785" i="9"/>
  <c r="Q785" i="9"/>
  <c r="O778" i="9"/>
  <c r="Z778" i="9"/>
  <c r="P110" i="9"/>
  <c r="P1086" i="9"/>
  <c r="P1080" i="9"/>
  <c r="P39" i="9"/>
  <c r="P37" i="9"/>
  <c r="P20" i="9"/>
  <c r="P23" i="9"/>
  <c r="M98" i="9"/>
  <c r="X98" i="9"/>
  <c r="O93" i="9"/>
  <c r="Z93" i="9"/>
  <c r="M96" i="9"/>
  <c r="X96" i="9"/>
  <c r="G87" i="9"/>
  <c r="R87" i="9"/>
  <c r="O91" i="9"/>
  <c r="Z91" i="9"/>
  <c r="I92" i="9"/>
  <c r="T92" i="9"/>
  <c r="I90" i="9"/>
  <c r="T90" i="9"/>
  <c r="K93" i="9"/>
  <c r="V93" i="9"/>
  <c r="K95" i="9"/>
  <c r="V95" i="9"/>
  <c r="K87" i="9"/>
  <c r="V87" i="9"/>
  <c r="I84" i="9"/>
  <c r="T84" i="9"/>
  <c r="G95" i="9"/>
  <c r="R95" i="9"/>
  <c r="G89" i="9"/>
  <c r="R89" i="9"/>
  <c r="I98" i="9"/>
  <c r="T98" i="9"/>
  <c r="J83" i="9"/>
  <c r="U83" i="9"/>
  <c r="L85" i="9"/>
  <c r="W85" i="9"/>
  <c r="M87" i="9"/>
  <c r="X87" i="9"/>
  <c r="N89" i="9"/>
  <c r="Y89" i="9"/>
  <c r="F92" i="9"/>
  <c r="Q92" i="9"/>
  <c r="G94" i="9"/>
  <c r="R94" i="9"/>
  <c r="H96" i="9"/>
  <c r="S96" i="9"/>
  <c r="J98" i="9"/>
  <c r="U98" i="9"/>
  <c r="G84" i="9"/>
  <c r="R84" i="9"/>
  <c r="H86" i="9"/>
  <c r="S86" i="9"/>
  <c r="J88" i="9"/>
  <c r="U88" i="9"/>
  <c r="K90" i="9"/>
  <c r="V90" i="9"/>
  <c r="L92" i="9"/>
  <c r="W92" i="9"/>
  <c r="N94" i="9"/>
  <c r="Y94" i="9"/>
  <c r="O96" i="9"/>
  <c r="Z96" i="9"/>
  <c r="H83" i="9"/>
  <c r="S83" i="9"/>
  <c r="J87" i="9"/>
  <c r="U87" i="9"/>
  <c r="M91" i="9"/>
  <c r="X91" i="9"/>
  <c r="F96" i="9"/>
  <c r="Q96" i="9"/>
  <c r="N85" i="9"/>
  <c r="Y85" i="9"/>
  <c r="H92" i="9"/>
  <c r="S92" i="9"/>
  <c r="N83" i="9"/>
  <c r="Y83" i="9"/>
  <c r="G88" i="9"/>
  <c r="R88" i="9"/>
  <c r="J92" i="9"/>
  <c r="U92" i="9"/>
  <c r="L96" i="9"/>
  <c r="W96" i="9"/>
  <c r="J85" i="9"/>
  <c r="U85" i="9"/>
  <c r="M89" i="9"/>
  <c r="X89" i="9"/>
  <c r="F94" i="9"/>
  <c r="Q94" i="9"/>
  <c r="H98" i="9"/>
  <c r="S98" i="9"/>
  <c r="I93" i="9"/>
  <c r="T93" i="9"/>
  <c r="M84" i="9"/>
  <c r="X84" i="9"/>
  <c r="G91" i="9"/>
  <c r="R91" i="9"/>
  <c r="K97" i="9"/>
  <c r="V97" i="9"/>
  <c r="G97" i="9"/>
  <c r="R97" i="9"/>
  <c r="O85" i="9"/>
  <c r="Z85" i="9"/>
  <c r="F84" i="9"/>
  <c r="Q84" i="9"/>
  <c r="L86" i="9"/>
  <c r="W86" i="9"/>
  <c r="I89" i="9"/>
  <c r="T89" i="9"/>
  <c r="K92" i="9"/>
  <c r="V92" i="9"/>
  <c r="H95" i="9"/>
  <c r="S95" i="9"/>
  <c r="N97" i="9"/>
  <c r="Y97" i="9"/>
  <c r="L84" i="9"/>
  <c r="W84" i="9"/>
  <c r="I87" i="9"/>
  <c r="T87" i="9"/>
  <c r="F90" i="9"/>
  <c r="Q90" i="9"/>
  <c r="H93" i="9"/>
  <c r="S93" i="9"/>
  <c r="N95" i="9"/>
  <c r="Y95" i="9"/>
  <c r="K98" i="9"/>
  <c r="V98" i="9"/>
  <c r="K88" i="9"/>
  <c r="V88" i="9"/>
  <c r="N93" i="9"/>
  <c r="Y93" i="9"/>
  <c r="M83" i="9"/>
  <c r="X83" i="9"/>
  <c r="J94" i="9"/>
  <c r="U94" i="9"/>
  <c r="F86" i="9"/>
  <c r="Q86" i="9"/>
  <c r="I91" i="9"/>
  <c r="T91" i="9"/>
  <c r="N98" i="9"/>
  <c r="Y98" i="9"/>
  <c r="L87" i="9"/>
  <c r="W87" i="9"/>
  <c r="O92" i="9"/>
  <c r="Z92" i="9"/>
  <c r="N84" i="9"/>
  <c r="Y84" i="9"/>
  <c r="L97" i="9"/>
  <c r="W97" i="9"/>
  <c r="K89" i="9"/>
  <c r="V89" i="9"/>
  <c r="G85" i="9"/>
  <c r="R85" i="9"/>
  <c r="K91" i="9"/>
  <c r="V91" i="9"/>
  <c r="O97" i="9"/>
  <c r="Z97" i="9"/>
  <c r="M90" i="9"/>
  <c r="X90" i="9"/>
  <c r="K84" i="9"/>
  <c r="V84" i="9"/>
  <c r="H88" i="9"/>
  <c r="S88" i="9"/>
  <c r="J91" i="9"/>
  <c r="U91" i="9"/>
  <c r="M95" i="9"/>
  <c r="X95" i="9"/>
  <c r="F83" i="9"/>
  <c r="Q83" i="9"/>
  <c r="N86" i="9"/>
  <c r="Y86" i="9"/>
  <c r="F91" i="9"/>
  <c r="Q91" i="9"/>
  <c r="H94" i="9"/>
  <c r="S94" i="9"/>
  <c r="F98" i="9"/>
  <c r="Q98" i="9"/>
  <c r="L89" i="9"/>
  <c r="W89" i="9"/>
  <c r="F97" i="9"/>
  <c r="Q97" i="9"/>
  <c r="G90" i="9"/>
  <c r="R90" i="9"/>
  <c r="F87" i="9"/>
  <c r="Q87" i="9"/>
  <c r="K94" i="9"/>
  <c r="V94" i="9"/>
  <c r="K86" i="9"/>
  <c r="V86" i="9"/>
  <c r="F95" i="9"/>
  <c r="Q95" i="9"/>
  <c r="H91" i="9"/>
  <c r="S91" i="9"/>
  <c r="O87" i="9"/>
  <c r="Z87" i="9"/>
  <c r="M88" i="9"/>
  <c r="X88" i="9"/>
  <c r="J89" i="9"/>
  <c r="U89" i="9"/>
  <c r="F85" i="9"/>
  <c r="Q85" i="9"/>
  <c r="J90" i="9"/>
  <c r="U90" i="9"/>
  <c r="L94" i="9"/>
  <c r="W94" i="9"/>
  <c r="L83" i="9"/>
  <c r="W83" i="9"/>
  <c r="O88" i="9"/>
  <c r="Z88" i="9"/>
  <c r="M93" i="9"/>
  <c r="X93" i="9"/>
  <c r="H84" i="9"/>
  <c r="S84" i="9"/>
  <c r="N92" i="9"/>
  <c r="Y92" i="9"/>
  <c r="F88" i="9"/>
  <c r="Q88" i="9"/>
  <c r="H89" i="9"/>
  <c r="S89" i="9"/>
  <c r="I83" i="9"/>
  <c r="T83" i="9"/>
  <c r="N91" i="9"/>
  <c r="Y91" i="9"/>
  <c r="J95" i="9"/>
  <c r="U95" i="9"/>
  <c r="I94" i="9"/>
  <c r="T94" i="9"/>
  <c r="I88" i="9"/>
  <c r="T88" i="9"/>
  <c r="I96" i="9"/>
  <c r="T96" i="9"/>
  <c r="G86" i="9"/>
  <c r="R86" i="9"/>
  <c r="O90" i="9"/>
  <c r="Z90" i="9"/>
  <c r="N96" i="9"/>
  <c r="Y96" i="9"/>
  <c r="H85" i="9"/>
  <c r="S85" i="9"/>
  <c r="I95" i="9"/>
  <c r="T95" i="9"/>
  <c r="I85" i="9"/>
  <c r="T85" i="9"/>
  <c r="O94" i="9"/>
  <c r="Z94" i="9"/>
  <c r="K96" i="9"/>
  <c r="V96" i="9"/>
  <c r="H90" i="9"/>
  <c r="S90" i="9"/>
  <c r="J84" i="9"/>
  <c r="U84" i="9"/>
  <c r="G96" i="9"/>
  <c r="R96" i="9"/>
  <c r="M97" i="9"/>
  <c r="X97" i="9"/>
  <c r="O95" i="9"/>
  <c r="Z95" i="9"/>
  <c r="O89" i="9"/>
  <c r="Z89" i="9"/>
  <c r="O83" i="9"/>
  <c r="Z83" i="9"/>
  <c r="K85" i="9"/>
  <c r="V85" i="9"/>
  <c r="H87" i="9"/>
  <c r="S87" i="9"/>
  <c r="F93" i="9"/>
  <c r="Q93" i="9"/>
  <c r="I97" i="9"/>
  <c r="T97" i="9"/>
  <c r="M85" i="9"/>
  <c r="X85" i="9"/>
  <c r="L91" i="9"/>
  <c r="W91" i="9"/>
  <c r="J96" i="9"/>
  <c r="U96" i="9"/>
  <c r="J86" i="9"/>
  <c r="U86" i="9"/>
  <c r="G98" i="9"/>
  <c r="R98" i="9"/>
  <c r="L98" i="9"/>
  <c r="W98" i="9"/>
  <c r="J93" i="9"/>
  <c r="U93" i="9"/>
  <c r="L88" i="9"/>
  <c r="W88" i="9"/>
  <c r="H97" i="9"/>
  <c r="S97" i="9"/>
  <c r="I86" i="9"/>
  <c r="T86" i="9"/>
  <c r="N88" i="9"/>
  <c r="Y88" i="9"/>
  <c r="G92" i="9"/>
  <c r="R92" i="9"/>
  <c r="O84" i="9"/>
  <c r="Z84" i="9"/>
  <c r="M92" i="9"/>
  <c r="X92" i="9"/>
  <c r="N90" i="9"/>
  <c r="Y90" i="9"/>
  <c r="M86" i="9"/>
  <c r="X86" i="9"/>
  <c r="G83" i="9"/>
  <c r="R83" i="9"/>
  <c r="N87" i="9"/>
  <c r="Y87" i="9"/>
  <c r="O86" i="9"/>
  <c r="Z86" i="9"/>
  <c r="F89" i="9"/>
  <c r="Q89" i="9"/>
  <c r="G93" i="9"/>
  <c r="R93" i="9"/>
  <c r="M94" i="9"/>
  <c r="X94" i="9"/>
  <c r="L93" i="9"/>
  <c r="W93" i="9"/>
  <c r="J97" i="9"/>
  <c r="U97" i="9"/>
  <c r="L95" i="9"/>
  <c r="W95" i="9"/>
  <c r="K83" i="9"/>
  <c r="V83" i="9"/>
  <c r="O98" i="9"/>
  <c r="Z98" i="9"/>
  <c r="L90" i="9"/>
  <c r="W90" i="9"/>
  <c r="F233" i="9"/>
  <c r="Q233" i="9"/>
  <c r="J239" i="9"/>
  <c r="U239" i="9"/>
  <c r="N231" i="9"/>
  <c r="Y231" i="9"/>
  <c r="H238" i="9"/>
  <c r="S238" i="9"/>
  <c r="N233" i="9"/>
  <c r="Y233" i="9"/>
  <c r="F231" i="9"/>
  <c r="Q231" i="9"/>
  <c r="F227" i="9"/>
  <c r="Q227" i="9"/>
  <c r="N241" i="9"/>
  <c r="Y241" i="9"/>
  <c r="H242" i="9"/>
  <c r="S242" i="9"/>
  <c r="F238" i="9"/>
  <c r="Q238" i="9"/>
  <c r="L231" i="9"/>
  <c r="W231" i="9"/>
  <c r="F229" i="9"/>
  <c r="Q229" i="9"/>
  <c r="O236" i="9"/>
  <c r="Z236" i="9"/>
  <c r="K230" i="9"/>
  <c r="V230" i="9"/>
  <c r="O239" i="9"/>
  <c r="Z239" i="9"/>
  <c r="K233" i="9"/>
  <c r="V233" i="9"/>
  <c r="J242" i="9"/>
  <c r="U242" i="9"/>
  <c r="F236" i="9"/>
  <c r="Q236" i="9"/>
  <c r="L229" i="9"/>
  <c r="W229" i="9"/>
  <c r="I241" i="9"/>
  <c r="T241" i="9"/>
  <c r="O234" i="9"/>
  <c r="Z234" i="9"/>
  <c r="K228" i="9"/>
  <c r="V228" i="9"/>
  <c r="O237" i="9"/>
  <c r="Z237" i="9"/>
  <c r="K231" i="9"/>
  <c r="V231" i="9"/>
  <c r="N236" i="9"/>
  <c r="Y236" i="9"/>
  <c r="G242" i="9"/>
  <c r="R242" i="9"/>
  <c r="I229" i="9"/>
  <c r="T229" i="9"/>
  <c r="I232" i="9"/>
  <c r="T232" i="9"/>
  <c r="H235" i="9"/>
  <c r="S235" i="9"/>
  <c r="I237" i="9"/>
  <c r="T237" i="9"/>
  <c r="O233" i="9"/>
  <c r="Z233" i="9"/>
  <c r="G239" i="9"/>
  <c r="R239" i="9"/>
  <c r="L235" i="9"/>
  <c r="W235" i="9"/>
  <c r="O240" i="9"/>
  <c r="Z240" i="9"/>
  <c r="G228" i="9"/>
  <c r="R228" i="9"/>
  <c r="G231" i="9"/>
  <c r="R231" i="9"/>
  <c r="G237" i="9"/>
  <c r="R237" i="9"/>
  <c r="F234" i="9"/>
  <c r="Q234" i="9"/>
  <c r="G236" i="9"/>
  <c r="R236" i="9"/>
  <c r="K229" i="9"/>
  <c r="V229" i="9"/>
  <c r="L234" i="9"/>
  <c r="W234" i="9"/>
  <c r="L242" i="9"/>
  <c r="W242" i="9"/>
  <c r="L236" i="9"/>
  <c r="W236" i="9"/>
  <c r="F237" i="9"/>
  <c r="Q237" i="9"/>
  <c r="J237" i="9"/>
  <c r="U237" i="9"/>
  <c r="L238" i="9"/>
  <c r="W238" i="9"/>
  <c r="N242" i="9"/>
  <c r="Y242" i="9"/>
  <c r="N234" i="9"/>
  <c r="Y234" i="9"/>
  <c r="L230" i="9"/>
  <c r="W230" i="9"/>
  <c r="I235" i="9"/>
  <c r="T235" i="9"/>
  <c r="I227" i="9"/>
  <c r="T227" i="9"/>
  <c r="G235" i="9"/>
  <c r="R235" i="9"/>
  <c r="N240" i="9"/>
  <c r="Y240" i="9"/>
  <c r="N232" i="9"/>
  <c r="Y232" i="9"/>
  <c r="O242" i="9"/>
  <c r="Z242" i="9"/>
  <c r="I233" i="9"/>
  <c r="T233" i="9"/>
  <c r="G241" i="9"/>
  <c r="R241" i="9"/>
  <c r="G233" i="9"/>
  <c r="R233" i="9"/>
  <c r="L233" i="9"/>
  <c r="W233" i="9"/>
  <c r="M235" i="9"/>
  <c r="X235" i="9"/>
  <c r="K235" i="9"/>
  <c r="V235" i="9"/>
  <c r="F232" i="9"/>
  <c r="Q232" i="9"/>
  <c r="M227" i="9"/>
  <c r="X227" i="9"/>
  <c r="M229" i="9"/>
  <c r="X229" i="9"/>
  <c r="J232" i="9"/>
  <c r="U232" i="9"/>
  <c r="K234" i="9"/>
  <c r="V234" i="9"/>
  <c r="I234" i="9"/>
  <c r="T234" i="9"/>
  <c r="M230" i="9"/>
  <c r="X230" i="9"/>
  <c r="L227" i="9"/>
  <c r="W227" i="9"/>
  <c r="O235" i="9"/>
  <c r="Z235" i="9"/>
  <c r="G227" i="9"/>
  <c r="R227" i="9"/>
  <c r="H236" i="9"/>
  <c r="S236" i="9"/>
  <c r="H228" i="9"/>
  <c r="S228" i="9"/>
  <c r="N239" i="9"/>
  <c r="Y239" i="9"/>
  <c r="H240" i="9"/>
  <c r="S240" i="9"/>
  <c r="L240" i="9"/>
  <c r="W240" i="9"/>
  <c r="J227" i="9"/>
  <c r="U227" i="9"/>
  <c r="H241" i="9"/>
  <c r="S241" i="9"/>
  <c r="H233" i="9"/>
  <c r="S233" i="9"/>
  <c r="M241" i="9"/>
  <c r="X241" i="9"/>
  <c r="M233" i="9"/>
  <c r="X233" i="9"/>
  <c r="K241" i="9"/>
  <c r="V241" i="9"/>
  <c r="O231" i="9"/>
  <c r="Z231" i="9"/>
  <c r="H239" i="9"/>
  <c r="S239" i="9"/>
  <c r="H231" i="9"/>
  <c r="S231" i="9"/>
  <c r="M239" i="9"/>
  <c r="X239" i="9"/>
  <c r="M231" i="9"/>
  <c r="X231" i="9"/>
  <c r="K239" i="9"/>
  <c r="V239" i="9"/>
  <c r="O229" i="9"/>
  <c r="Z229" i="9"/>
  <c r="J230" i="9"/>
  <c r="U230" i="9"/>
  <c r="K232" i="9"/>
  <c r="V232" i="9"/>
  <c r="G229" i="9"/>
  <c r="R229" i="9"/>
  <c r="N228" i="9"/>
  <c r="Y228" i="9"/>
  <c r="I240" i="9"/>
  <c r="T240" i="9"/>
  <c r="M232" i="9"/>
  <c r="X232" i="9"/>
  <c r="H229" i="9"/>
  <c r="S229" i="9"/>
  <c r="I231" i="9"/>
  <c r="T231" i="9"/>
  <c r="O227" i="9"/>
  <c r="Z227" i="9"/>
  <c r="J240" i="9"/>
  <c r="U240" i="9"/>
  <c r="I239" i="9"/>
  <c r="T239" i="9"/>
  <c r="F241" i="9"/>
  <c r="Q241" i="9"/>
  <c r="F235" i="9"/>
  <c r="Q235" i="9"/>
  <c r="N235" i="9"/>
  <c r="Y235" i="9"/>
  <c r="O228" i="9"/>
  <c r="Z228" i="9"/>
  <c r="H230" i="9"/>
  <c r="S230" i="9"/>
  <c r="F240" i="9"/>
  <c r="Q240" i="9"/>
  <c r="G234" i="9"/>
  <c r="R234" i="9"/>
  <c r="K237" i="9"/>
  <c r="V237" i="9"/>
  <c r="N237" i="9"/>
  <c r="Y237" i="9"/>
  <c r="J241" i="9"/>
  <c r="U241" i="9"/>
  <c r="H232" i="9"/>
  <c r="S232" i="9"/>
  <c r="L239" i="9"/>
  <c r="W239" i="9"/>
  <c r="G240" i="9"/>
  <c r="R240" i="9"/>
  <c r="I238" i="9"/>
  <c r="T238" i="9"/>
  <c r="L237" i="9"/>
  <c r="W237" i="9"/>
  <c r="G238" i="9"/>
  <c r="R238" i="9"/>
  <c r="I236" i="9"/>
  <c r="T236" i="9"/>
  <c r="H227" i="9"/>
  <c r="S227" i="9"/>
  <c r="L241" i="9"/>
  <c r="W241" i="9"/>
  <c r="K227" i="9"/>
  <c r="V227" i="9"/>
  <c r="N229" i="9"/>
  <c r="Y229" i="9"/>
  <c r="J229" i="9"/>
  <c r="U229" i="9"/>
  <c r="O232" i="9"/>
  <c r="Z232" i="9"/>
  <c r="L228" i="9"/>
  <c r="W228" i="9"/>
  <c r="J235" i="9"/>
  <c r="U235" i="9"/>
  <c r="J236" i="9"/>
  <c r="U236" i="9"/>
  <c r="K238" i="9"/>
  <c r="V238" i="9"/>
  <c r="M236" i="9"/>
  <c r="X236" i="9"/>
  <c r="J234" i="9"/>
  <c r="U234" i="9"/>
  <c r="K236" i="9"/>
  <c r="V236" i="9"/>
  <c r="M234" i="9"/>
  <c r="X234" i="9"/>
  <c r="O238" i="9"/>
  <c r="Z238" i="9"/>
  <c r="J238" i="9"/>
  <c r="U238" i="9"/>
  <c r="K242" i="9"/>
  <c r="V242" i="9"/>
  <c r="M237" i="9"/>
  <c r="X237" i="9"/>
  <c r="O230" i="9"/>
  <c r="Z230" i="9"/>
  <c r="I242" i="9"/>
  <c r="T242" i="9"/>
  <c r="N227" i="9"/>
  <c r="Y227" i="9"/>
  <c r="J233" i="9"/>
  <c r="U233" i="9"/>
  <c r="F239" i="9"/>
  <c r="Q239" i="9"/>
  <c r="L232" i="9"/>
  <c r="W232" i="9"/>
  <c r="F230" i="9"/>
  <c r="Q230" i="9"/>
  <c r="G232" i="9"/>
  <c r="R232" i="9"/>
  <c r="I230" i="9"/>
  <c r="T230" i="9"/>
  <c r="F228" i="9"/>
  <c r="Q228" i="9"/>
  <c r="G230" i="9"/>
  <c r="R230" i="9"/>
  <c r="I228" i="9"/>
  <c r="T228" i="9"/>
  <c r="O241" i="9"/>
  <c r="Z241" i="9"/>
  <c r="K240" i="9"/>
  <c r="V240" i="9"/>
  <c r="F242" i="9"/>
  <c r="Q242" i="9"/>
  <c r="M240" i="9"/>
  <c r="X240" i="9"/>
  <c r="H237" i="9"/>
  <c r="S237" i="9"/>
  <c r="J231" i="9"/>
  <c r="U231" i="9"/>
  <c r="H234" i="9"/>
  <c r="S234" i="9"/>
  <c r="J228" i="9"/>
  <c r="U228" i="9"/>
  <c r="M228" i="9"/>
  <c r="X228" i="9"/>
  <c r="M242" i="9"/>
  <c r="X242" i="9"/>
  <c r="M238" i="9"/>
  <c r="X238" i="9"/>
  <c r="N238" i="9"/>
  <c r="Y238" i="9"/>
  <c r="N230" i="9"/>
  <c r="Y230" i="9"/>
  <c r="G323" i="9"/>
  <c r="R323" i="9"/>
  <c r="H328" i="9"/>
  <c r="S328" i="9"/>
  <c r="F337" i="9"/>
  <c r="Q337" i="9"/>
  <c r="M337" i="9"/>
  <c r="X337" i="9"/>
  <c r="O327" i="9"/>
  <c r="Z327" i="9"/>
  <c r="I330" i="9"/>
  <c r="T330" i="9"/>
  <c r="M335" i="9"/>
  <c r="X335" i="9"/>
  <c r="O325" i="9"/>
  <c r="Z325" i="9"/>
  <c r="H338" i="9"/>
  <c r="S338" i="9"/>
  <c r="L338" i="9"/>
  <c r="W338" i="9"/>
  <c r="J324" i="9"/>
  <c r="U324" i="9"/>
  <c r="M332" i="9"/>
  <c r="X332" i="9"/>
  <c r="G324" i="9"/>
  <c r="R324" i="9"/>
  <c r="H324" i="9"/>
  <c r="S324" i="9"/>
  <c r="M330" i="9"/>
  <c r="X330" i="9"/>
  <c r="L328" i="9"/>
  <c r="W328" i="9"/>
  <c r="L336" i="9"/>
  <c r="W336" i="9"/>
  <c r="H329" i="9"/>
  <c r="S329" i="9"/>
  <c r="K337" i="9"/>
  <c r="V337" i="9"/>
  <c r="M333" i="9"/>
  <c r="X333" i="9"/>
  <c r="H327" i="9"/>
  <c r="S327" i="9"/>
  <c r="K335" i="9"/>
  <c r="V335" i="9"/>
  <c r="N335" i="9"/>
  <c r="Y335" i="9"/>
  <c r="F327" i="9"/>
  <c r="Q327" i="9"/>
  <c r="F334" i="9"/>
  <c r="Q334" i="9"/>
  <c r="K326" i="9"/>
  <c r="V326" i="9"/>
  <c r="L323" i="9"/>
  <c r="W323" i="9"/>
  <c r="F332" i="9"/>
  <c r="Q332" i="9"/>
  <c r="K324" i="9"/>
  <c r="V324" i="9"/>
  <c r="K338" i="9"/>
  <c r="V338" i="9"/>
  <c r="O329" i="9"/>
  <c r="Z329" i="9"/>
  <c r="I328" i="9"/>
  <c r="T328" i="9"/>
  <c r="I335" i="9"/>
  <c r="T335" i="9"/>
  <c r="K323" i="9"/>
  <c r="V323" i="9"/>
  <c r="H331" i="9"/>
  <c r="S331" i="9"/>
  <c r="G335" i="9"/>
  <c r="R335" i="9"/>
  <c r="F336" i="9"/>
  <c r="Q336" i="9"/>
  <c r="H323" i="9"/>
  <c r="S323" i="9"/>
  <c r="F328" i="9"/>
  <c r="Q328" i="9"/>
  <c r="J326" i="9"/>
  <c r="U326" i="9"/>
  <c r="J337" i="9"/>
  <c r="U337" i="9"/>
  <c r="J332" i="9"/>
  <c r="U332" i="9"/>
  <c r="N323" i="9"/>
  <c r="Y323" i="9"/>
  <c r="M338" i="9"/>
  <c r="X338" i="9"/>
  <c r="H336" i="9"/>
  <c r="S336" i="9"/>
  <c r="M329" i="9"/>
  <c r="X329" i="9"/>
  <c r="F330" i="9"/>
  <c r="Q330" i="9"/>
  <c r="M327" i="9"/>
  <c r="X327" i="9"/>
  <c r="J331" i="9"/>
  <c r="U331" i="9"/>
  <c r="K334" i="9"/>
  <c r="V334" i="9"/>
  <c r="O323" i="9"/>
  <c r="Z323" i="9"/>
  <c r="F338" i="9"/>
  <c r="Q338" i="9"/>
  <c r="L330" i="9"/>
  <c r="W330" i="9"/>
  <c r="K329" i="9"/>
  <c r="V329" i="9"/>
  <c r="I337" i="9"/>
  <c r="T337" i="9"/>
  <c r="M328" i="9"/>
  <c r="X328" i="9"/>
  <c r="K331" i="9"/>
  <c r="V331" i="9"/>
  <c r="G325" i="9"/>
  <c r="R325" i="9"/>
  <c r="O326" i="9"/>
  <c r="Z326" i="9"/>
  <c r="O328" i="9"/>
  <c r="Z328" i="9"/>
  <c r="M323" i="9"/>
  <c r="X323" i="9"/>
  <c r="F331" i="9"/>
  <c r="Q331" i="9"/>
  <c r="L334" i="9"/>
  <c r="W334" i="9"/>
  <c r="N338" i="9"/>
  <c r="Y338" i="9"/>
  <c r="I331" i="9"/>
  <c r="T331" i="9"/>
  <c r="H333" i="9"/>
  <c r="S333" i="9"/>
  <c r="N336" i="9"/>
  <c r="Y336" i="9"/>
  <c r="I329" i="9"/>
  <c r="T329" i="9"/>
  <c r="H326" i="9"/>
  <c r="S326" i="9"/>
  <c r="N329" i="9"/>
  <c r="Y329" i="9"/>
  <c r="J327" i="9"/>
  <c r="U327" i="9"/>
  <c r="G336" i="9"/>
  <c r="R336" i="9"/>
  <c r="I326" i="9"/>
  <c r="T326" i="9"/>
  <c r="G327" i="9"/>
  <c r="R327" i="9"/>
  <c r="G334" i="9"/>
  <c r="R334" i="9"/>
  <c r="I324" i="9"/>
  <c r="T324" i="9"/>
  <c r="F325" i="9"/>
  <c r="Q325" i="9"/>
  <c r="F329" i="9"/>
  <c r="Q329" i="9"/>
  <c r="L324" i="9"/>
  <c r="W324" i="9"/>
  <c r="G331" i="9"/>
  <c r="R331" i="9"/>
  <c r="M336" i="9"/>
  <c r="X336" i="9"/>
  <c r="O338" i="9"/>
  <c r="Z338" i="9"/>
  <c r="G329" i="9"/>
  <c r="R329" i="9"/>
  <c r="N331" i="9"/>
  <c r="Y331" i="9"/>
  <c r="N325" i="9"/>
  <c r="Y325" i="9"/>
  <c r="L327" i="9"/>
  <c r="W327" i="9"/>
  <c r="O335" i="9"/>
  <c r="Z335" i="9"/>
  <c r="K330" i="9"/>
  <c r="V330" i="9"/>
  <c r="L325" i="9"/>
  <c r="W325" i="9"/>
  <c r="O333" i="9"/>
  <c r="Z333" i="9"/>
  <c r="M325" i="9"/>
  <c r="X325" i="9"/>
  <c r="G330" i="9"/>
  <c r="R330" i="9"/>
  <c r="G333" i="9"/>
  <c r="R333" i="9"/>
  <c r="I338" i="9"/>
  <c r="T338" i="9"/>
  <c r="M326" i="9"/>
  <c r="X326" i="9"/>
  <c r="L329" i="9"/>
  <c r="W329" i="9"/>
  <c r="J334" i="9"/>
  <c r="U334" i="9"/>
  <c r="N332" i="9"/>
  <c r="Y332" i="9"/>
  <c r="H325" i="9"/>
  <c r="S325" i="9"/>
  <c r="I336" i="9"/>
  <c r="T336" i="9"/>
  <c r="M334" i="9"/>
  <c r="X334" i="9"/>
  <c r="H330" i="9"/>
  <c r="S330" i="9"/>
  <c r="O324" i="9"/>
  <c r="Z324" i="9"/>
  <c r="J330" i="9"/>
  <c r="U330" i="9"/>
  <c r="L332" i="9"/>
  <c r="W332" i="9"/>
  <c r="H337" i="9"/>
  <c r="S337" i="9"/>
  <c r="H335" i="9"/>
  <c r="S335" i="9"/>
  <c r="N327" i="9"/>
  <c r="Y327" i="9"/>
  <c r="N333" i="9"/>
  <c r="Y333" i="9"/>
  <c r="M324" i="9"/>
  <c r="X324" i="9"/>
  <c r="K332" i="9"/>
  <c r="V332" i="9"/>
  <c r="L326" i="9"/>
  <c r="W326" i="9"/>
  <c r="F323" i="9"/>
  <c r="Q323" i="9"/>
  <c r="K333" i="9"/>
  <c r="V333" i="9"/>
  <c r="K327" i="9"/>
  <c r="V327" i="9"/>
  <c r="O337" i="9"/>
  <c r="Z337" i="9"/>
  <c r="K325" i="9"/>
  <c r="V325" i="9"/>
  <c r="J328" i="9"/>
  <c r="U328" i="9"/>
  <c r="I325" i="9"/>
  <c r="T325" i="9"/>
  <c r="N324" i="9"/>
  <c r="Y324" i="9"/>
  <c r="I334" i="9"/>
  <c r="T334" i="9"/>
  <c r="N337" i="9"/>
  <c r="Y337" i="9"/>
  <c r="O330" i="9"/>
  <c r="Z330" i="9"/>
  <c r="L337" i="9"/>
  <c r="W337" i="9"/>
  <c r="F335" i="9"/>
  <c r="Q335" i="9"/>
  <c r="I327" i="9"/>
  <c r="T327" i="9"/>
  <c r="J333" i="9"/>
  <c r="U333" i="9"/>
  <c r="N328" i="9"/>
  <c r="Y328" i="9"/>
  <c r="L335" i="9"/>
  <c r="W335" i="9"/>
  <c r="G326" i="9"/>
  <c r="R326" i="9"/>
  <c r="O332" i="9"/>
  <c r="Z332" i="9"/>
  <c r="N334" i="9"/>
  <c r="Y334" i="9"/>
  <c r="I333" i="9"/>
  <c r="T333" i="9"/>
  <c r="K336" i="9"/>
  <c r="V336" i="9"/>
  <c r="H332" i="9"/>
  <c r="S332" i="9"/>
  <c r="F324" i="9"/>
  <c r="Q324" i="9"/>
  <c r="N330" i="9"/>
  <c r="Y330" i="9"/>
  <c r="G337" i="9"/>
  <c r="R337" i="9"/>
  <c r="G328" i="9"/>
  <c r="R328" i="9"/>
  <c r="J329" i="9"/>
  <c r="U329" i="9"/>
  <c r="J336" i="9"/>
  <c r="U336" i="9"/>
  <c r="J323" i="9"/>
  <c r="U323" i="9"/>
  <c r="M331" i="9"/>
  <c r="X331" i="9"/>
  <c r="O331" i="9"/>
  <c r="Z331" i="9"/>
  <c r="F326" i="9"/>
  <c r="Q326" i="9"/>
  <c r="I332" i="9"/>
  <c r="T332" i="9"/>
  <c r="I323" i="9"/>
  <c r="T323" i="9"/>
  <c r="H334" i="9"/>
  <c r="S334" i="9"/>
  <c r="N326" i="9"/>
  <c r="Y326" i="9"/>
  <c r="F333" i="9"/>
  <c r="Q333" i="9"/>
  <c r="J338" i="9"/>
  <c r="U338" i="9"/>
  <c r="G338" i="9"/>
  <c r="R338" i="9"/>
  <c r="G332" i="9"/>
  <c r="R332" i="9"/>
  <c r="O334" i="9"/>
  <c r="Z334" i="9"/>
  <c r="J325" i="9"/>
  <c r="U325" i="9"/>
  <c r="O336" i="9"/>
  <c r="Z336" i="9"/>
  <c r="L333" i="9"/>
  <c r="W333" i="9"/>
  <c r="J335" i="9"/>
  <c r="U335" i="9"/>
  <c r="L331" i="9"/>
  <c r="W331" i="9"/>
  <c r="K328" i="9"/>
  <c r="V328" i="9"/>
  <c r="J755" i="9"/>
  <c r="U755" i="9"/>
  <c r="F757" i="9"/>
  <c r="Q757" i="9"/>
  <c r="L758" i="9"/>
  <c r="W758" i="9"/>
  <c r="I756" i="9"/>
  <c r="T756" i="9"/>
  <c r="J758" i="9"/>
  <c r="U758" i="9"/>
  <c r="H760" i="9"/>
  <c r="S760" i="9"/>
  <c r="N761" i="9"/>
  <c r="Y761" i="9"/>
  <c r="J763" i="9"/>
  <c r="U763" i="9"/>
  <c r="F765" i="9"/>
  <c r="Q765" i="9"/>
  <c r="L766" i="9"/>
  <c r="W766" i="9"/>
  <c r="H768" i="9"/>
  <c r="S768" i="9"/>
  <c r="N769" i="9"/>
  <c r="Y769" i="9"/>
  <c r="O755" i="9"/>
  <c r="Z755" i="9"/>
  <c r="F758" i="9"/>
  <c r="Q758" i="9"/>
  <c r="O759" i="9"/>
  <c r="Z759" i="9"/>
  <c r="K761" i="9"/>
  <c r="V761" i="9"/>
  <c r="G763" i="9"/>
  <c r="R763" i="9"/>
  <c r="M764" i="9"/>
  <c r="X764" i="9"/>
  <c r="I766" i="9"/>
  <c r="T766" i="9"/>
  <c r="O767" i="9"/>
  <c r="Z767" i="9"/>
  <c r="K769" i="9"/>
  <c r="V769" i="9"/>
  <c r="K755" i="9"/>
  <c r="V755" i="9"/>
  <c r="L759" i="9"/>
  <c r="W759" i="9"/>
  <c r="N762" i="9"/>
  <c r="Y762" i="9"/>
  <c r="F766" i="9"/>
  <c r="Q766" i="9"/>
  <c r="H769" i="9"/>
  <c r="S769" i="9"/>
  <c r="G757" i="9"/>
  <c r="R757" i="9"/>
  <c r="N760" i="9"/>
  <c r="Y760" i="9"/>
  <c r="F764" i="9"/>
  <c r="Q764" i="9"/>
  <c r="H767" i="9"/>
  <c r="S767" i="9"/>
  <c r="G755" i="9"/>
  <c r="R755" i="9"/>
  <c r="K762" i="9"/>
  <c r="V762" i="9"/>
  <c r="O768" i="9"/>
  <c r="Z768" i="9"/>
  <c r="M757" i="9"/>
  <c r="X757" i="9"/>
  <c r="I761" i="9"/>
  <c r="T761" i="9"/>
  <c r="K764" i="9"/>
  <c r="V764" i="9"/>
  <c r="M767" i="9"/>
  <c r="X767" i="9"/>
  <c r="O770" i="9"/>
  <c r="Z770" i="9"/>
  <c r="G760" i="9"/>
  <c r="R760" i="9"/>
  <c r="K766" i="9"/>
  <c r="V766" i="9"/>
  <c r="L756" i="9"/>
  <c r="W756" i="9"/>
  <c r="F759" i="9"/>
  <c r="Q759" i="9"/>
  <c r="I757" i="9"/>
  <c r="T757" i="9"/>
  <c r="N759" i="9"/>
  <c r="Y759" i="9"/>
  <c r="H762" i="9"/>
  <c r="S762" i="9"/>
  <c r="H764" i="9"/>
  <c r="S764" i="9"/>
  <c r="H766" i="9"/>
  <c r="S766" i="9"/>
  <c r="L768" i="9"/>
  <c r="W768" i="9"/>
  <c r="L770" i="9"/>
  <c r="W770" i="9"/>
  <c r="K757" i="9"/>
  <c r="V757" i="9"/>
  <c r="I760" i="9"/>
  <c r="T760" i="9"/>
  <c r="I762" i="9"/>
  <c r="T762" i="9"/>
  <c r="I764" i="9"/>
  <c r="T764" i="9"/>
  <c r="M766" i="9"/>
  <c r="X766" i="9"/>
  <c r="M768" i="9"/>
  <c r="X768" i="9"/>
  <c r="M770" i="9"/>
  <c r="X770" i="9"/>
  <c r="J760" i="9"/>
  <c r="U760" i="9"/>
  <c r="J764" i="9"/>
  <c r="U764" i="9"/>
  <c r="J768" i="9"/>
  <c r="U768" i="9"/>
  <c r="G758" i="9"/>
  <c r="R758" i="9"/>
  <c r="J762" i="9"/>
  <c r="U762" i="9"/>
  <c r="N770" i="9"/>
  <c r="Y770" i="9"/>
  <c r="M755" i="9"/>
  <c r="X755" i="9"/>
  <c r="L762" i="9"/>
  <c r="W762" i="9"/>
  <c r="N767" i="9"/>
  <c r="Y767" i="9"/>
  <c r="O761" i="9"/>
  <c r="Z761" i="9"/>
  <c r="K767" i="9"/>
  <c r="V767" i="9"/>
  <c r="N766" i="9"/>
  <c r="Y766" i="9"/>
  <c r="H763" i="9"/>
  <c r="S763" i="9"/>
  <c r="I759" i="9"/>
  <c r="T759" i="9"/>
  <c r="I767" i="9"/>
  <c r="T767" i="9"/>
  <c r="O762" i="9"/>
  <c r="Z762" i="9"/>
  <c r="N768" i="9"/>
  <c r="Y768" i="9"/>
  <c r="N755" i="9"/>
  <c r="Y755" i="9"/>
  <c r="H758" i="9"/>
  <c r="S758" i="9"/>
  <c r="O757" i="9"/>
  <c r="Z757" i="9"/>
  <c r="F761" i="9"/>
  <c r="Q761" i="9"/>
  <c r="N763" i="9"/>
  <c r="Y763" i="9"/>
  <c r="F767" i="9"/>
  <c r="Q767" i="9"/>
  <c r="J769" i="9"/>
  <c r="U769" i="9"/>
  <c r="O756" i="9"/>
  <c r="Z756" i="9"/>
  <c r="M760" i="9"/>
  <c r="X760" i="9"/>
  <c r="K763" i="9"/>
  <c r="V763" i="9"/>
  <c r="O765" i="9"/>
  <c r="Z765" i="9"/>
  <c r="G769" i="9"/>
  <c r="R769" i="9"/>
  <c r="L757" i="9"/>
  <c r="W757" i="9"/>
  <c r="L763" i="9"/>
  <c r="W763" i="9"/>
  <c r="F770" i="9"/>
  <c r="Q770" i="9"/>
  <c r="F760" i="9"/>
  <c r="Q760" i="9"/>
  <c r="L765" i="9"/>
  <c r="W765" i="9"/>
  <c r="J770" i="9"/>
  <c r="U770" i="9"/>
  <c r="G764" i="9"/>
  <c r="R764" i="9"/>
  <c r="L755" i="9"/>
  <c r="W755" i="9"/>
  <c r="K760" i="9"/>
  <c r="V760" i="9"/>
  <c r="I765" i="9"/>
  <c r="T765" i="9"/>
  <c r="I769" i="9"/>
  <c r="T769" i="9"/>
  <c r="I758" i="9"/>
  <c r="T758" i="9"/>
  <c r="G768" i="9"/>
  <c r="R768" i="9"/>
  <c r="H756" i="9"/>
  <c r="S756" i="9"/>
  <c r="H755" i="9"/>
  <c r="S755" i="9"/>
  <c r="O758" i="9"/>
  <c r="Z758" i="9"/>
  <c r="J761" i="9"/>
  <c r="U761" i="9"/>
  <c r="L764" i="9"/>
  <c r="W764" i="9"/>
  <c r="J767" i="9"/>
  <c r="U767" i="9"/>
  <c r="H770" i="9"/>
  <c r="S770" i="9"/>
  <c r="K758" i="9"/>
  <c r="V758" i="9"/>
  <c r="G761" i="9"/>
  <c r="R761" i="9"/>
  <c r="O763" i="9"/>
  <c r="Z763" i="9"/>
  <c r="G767" i="9"/>
  <c r="R767" i="9"/>
  <c r="O769" i="9"/>
  <c r="Z769" i="9"/>
  <c r="M758" i="9"/>
  <c r="X758" i="9"/>
  <c r="H765" i="9"/>
  <c r="S765" i="9"/>
  <c r="L761" i="9"/>
  <c r="W761" i="9"/>
  <c r="J766" i="9"/>
  <c r="U766" i="9"/>
  <c r="H757" i="9"/>
  <c r="S757" i="9"/>
  <c r="M765" i="9"/>
  <c r="X765" i="9"/>
  <c r="M756" i="9"/>
  <c r="X756" i="9"/>
  <c r="G762" i="9"/>
  <c r="R762" i="9"/>
  <c r="G766" i="9"/>
  <c r="R766" i="9"/>
  <c r="G770" i="9"/>
  <c r="R770" i="9"/>
  <c r="M761" i="9"/>
  <c r="X761" i="9"/>
  <c r="M769" i="9"/>
  <c r="X769" i="9"/>
  <c r="J757" i="9"/>
  <c r="U757" i="9"/>
  <c r="J759" i="9"/>
  <c r="U759" i="9"/>
  <c r="J765" i="9"/>
  <c r="U765" i="9"/>
  <c r="I755" i="9"/>
  <c r="T755" i="9"/>
  <c r="G759" i="9"/>
  <c r="R759" i="9"/>
  <c r="G765" i="9"/>
  <c r="R765" i="9"/>
  <c r="I770" i="9"/>
  <c r="T770" i="9"/>
  <c r="H761" i="9"/>
  <c r="S761" i="9"/>
  <c r="F756" i="9"/>
  <c r="Q756" i="9"/>
  <c r="F768" i="9"/>
  <c r="Q768" i="9"/>
  <c r="N758" i="9"/>
  <c r="Y758" i="9"/>
  <c r="O766" i="9"/>
  <c r="Z766" i="9"/>
  <c r="I763" i="9"/>
  <c r="T763" i="9"/>
  <c r="N756" i="9"/>
  <c r="Y756" i="9"/>
  <c r="F769" i="9"/>
  <c r="Q769" i="9"/>
  <c r="K765" i="9"/>
  <c r="V765" i="9"/>
  <c r="L767" i="9"/>
  <c r="W767" i="9"/>
  <c r="O760" i="9"/>
  <c r="Z760" i="9"/>
  <c r="K768" i="9"/>
  <c r="V768" i="9"/>
  <c r="F755" i="9"/>
  <c r="Q755" i="9"/>
  <c r="K756" i="9"/>
  <c r="V756" i="9"/>
  <c r="M759" i="9"/>
  <c r="X759" i="9"/>
  <c r="N757" i="9"/>
  <c r="Y757" i="9"/>
  <c r="N765" i="9"/>
  <c r="Y765" i="9"/>
  <c r="M762" i="9"/>
  <c r="X762" i="9"/>
  <c r="F762" i="9"/>
  <c r="Q762" i="9"/>
  <c r="L769" i="9"/>
  <c r="W769" i="9"/>
  <c r="M763" i="9"/>
  <c r="X763" i="9"/>
  <c r="L760" i="9"/>
  <c r="W760" i="9"/>
  <c r="J756" i="9"/>
  <c r="U756" i="9"/>
  <c r="I768" i="9"/>
  <c r="T768" i="9"/>
  <c r="H759" i="9"/>
  <c r="S759" i="9"/>
  <c r="K770" i="9"/>
  <c r="V770" i="9"/>
  <c r="G756" i="9"/>
  <c r="R756" i="9"/>
  <c r="F763" i="9"/>
  <c r="Q763" i="9"/>
  <c r="K759" i="9"/>
  <c r="V759" i="9"/>
  <c r="N764" i="9"/>
  <c r="Y764" i="9"/>
  <c r="O764" i="9"/>
  <c r="Z764" i="9"/>
  <c r="P46" i="9"/>
  <c r="P41" i="9"/>
  <c r="P48" i="9"/>
  <c r="M419" i="9"/>
  <c r="X419" i="9"/>
  <c r="O422" i="9"/>
  <c r="Z422" i="9"/>
  <c r="G426" i="9"/>
  <c r="R426" i="9"/>
  <c r="I429" i="9"/>
  <c r="T429" i="9"/>
  <c r="K432" i="9"/>
  <c r="V432" i="9"/>
  <c r="F419" i="9"/>
  <c r="Q419" i="9"/>
  <c r="H422" i="9"/>
  <c r="S422" i="9"/>
  <c r="J425" i="9"/>
  <c r="U425" i="9"/>
  <c r="L428" i="9"/>
  <c r="W428" i="9"/>
  <c r="N431" i="9"/>
  <c r="Y431" i="9"/>
  <c r="I419" i="9"/>
  <c r="T419" i="9"/>
  <c r="M425" i="9"/>
  <c r="X425" i="9"/>
  <c r="G432" i="9"/>
  <c r="R432" i="9"/>
  <c r="O424" i="9"/>
  <c r="Z424" i="9"/>
  <c r="J419" i="9"/>
  <c r="U419" i="9"/>
  <c r="N425" i="9"/>
  <c r="Y425" i="9"/>
  <c r="H432" i="9"/>
  <c r="S432" i="9"/>
  <c r="M429" i="9"/>
  <c r="X429" i="9"/>
  <c r="L434" i="9"/>
  <c r="W434" i="9"/>
  <c r="J423" i="9"/>
  <c r="U423" i="9"/>
  <c r="L433" i="9"/>
  <c r="W433" i="9"/>
  <c r="H427" i="9"/>
  <c r="S427" i="9"/>
  <c r="N420" i="9"/>
  <c r="Y420" i="9"/>
  <c r="I430" i="9"/>
  <c r="T430" i="9"/>
  <c r="O423" i="9"/>
  <c r="Z423" i="9"/>
  <c r="L429" i="9"/>
  <c r="W429" i="9"/>
  <c r="M432" i="9"/>
  <c r="X432" i="9"/>
  <c r="N434" i="9"/>
  <c r="Y434" i="9"/>
  <c r="J428" i="9"/>
  <c r="U428" i="9"/>
  <c r="F422" i="9"/>
  <c r="Q422" i="9"/>
  <c r="K431" i="9"/>
  <c r="V431" i="9"/>
  <c r="G425" i="9"/>
  <c r="R425" i="9"/>
  <c r="J434" i="9"/>
  <c r="U434" i="9"/>
  <c r="L421" i="9"/>
  <c r="W421" i="9"/>
  <c r="I426" i="9"/>
  <c r="T426" i="9"/>
  <c r="F426" i="9"/>
  <c r="Q426" i="9"/>
  <c r="K419" i="9"/>
  <c r="V419" i="9"/>
  <c r="N430" i="9"/>
  <c r="Y430" i="9"/>
  <c r="G421" i="9"/>
  <c r="R421" i="9"/>
  <c r="O425" i="9"/>
  <c r="Z425" i="9"/>
  <c r="M423" i="9"/>
  <c r="X423" i="9"/>
  <c r="M431" i="9"/>
  <c r="X431" i="9"/>
  <c r="N423" i="9"/>
  <c r="Y423" i="9"/>
  <c r="N427" i="9"/>
  <c r="Y427" i="9"/>
  <c r="K422" i="9"/>
  <c r="V422" i="9"/>
  <c r="K430" i="9"/>
  <c r="V430" i="9"/>
  <c r="L422" i="9"/>
  <c r="W422" i="9"/>
  <c r="L430" i="9"/>
  <c r="W430" i="9"/>
  <c r="L426" i="9"/>
  <c r="W426" i="9"/>
  <c r="L425" i="9"/>
  <c r="W425" i="9"/>
  <c r="K433" i="9"/>
  <c r="V433" i="9"/>
  <c r="F428" i="9"/>
  <c r="Q428" i="9"/>
  <c r="F430" i="9"/>
  <c r="Q430" i="9"/>
  <c r="I428" i="9"/>
  <c r="T428" i="9"/>
  <c r="I420" i="9"/>
  <c r="T420" i="9"/>
  <c r="I434" i="9"/>
  <c r="T434" i="9"/>
  <c r="O419" i="9"/>
  <c r="Z419" i="9"/>
  <c r="M422" i="9"/>
  <c r="X422" i="9"/>
  <c r="J424" i="9"/>
  <c r="U424" i="9"/>
  <c r="N422" i="9"/>
  <c r="Y422" i="9"/>
  <c r="I421" i="9"/>
  <c r="T421" i="9"/>
  <c r="I425" i="9"/>
  <c r="T425" i="9"/>
  <c r="G430" i="9"/>
  <c r="R430" i="9"/>
  <c r="G434" i="9"/>
  <c r="R434" i="9"/>
  <c r="J421" i="9"/>
  <c r="U421" i="9"/>
  <c r="H426" i="9"/>
  <c r="S426" i="9"/>
  <c r="H430" i="9"/>
  <c r="S430" i="9"/>
  <c r="H434" i="9"/>
  <c r="S434" i="9"/>
  <c r="I427" i="9"/>
  <c r="T427" i="9"/>
  <c r="G420" i="9"/>
  <c r="R420" i="9"/>
  <c r="O432" i="9"/>
  <c r="Z432" i="9"/>
  <c r="J427" i="9"/>
  <c r="U427" i="9"/>
  <c r="I423" i="9"/>
  <c r="T423" i="9"/>
  <c r="H428" i="9"/>
  <c r="S428" i="9"/>
  <c r="N429" i="9"/>
  <c r="Y429" i="9"/>
  <c r="J430" i="9"/>
  <c r="U430" i="9"/>
  <c r="J422" i="9"/>
  <c r="U422" i="9"/>
  <c r="M428" i="9"/>
  <c r="X428" i="9"/>
  <c r="M420" i="9"/>
  <c r="X420" i="9"/>
  <c r="F420" i="9"/>
  <c r="Q420" i="9"/>
  <c r="H433" i="9"/>
  <c r="S433" i="9"/>
  <c r="H425" i="9"/>
  <c r="S425" i="9"/>
  <c r="G433" i="9"/>
  <c r="R433" i="9"/>
  <c r="K423" i="9"/>
  <c r="V423" i="9"/>
  <c r="J426" i="9"/>
  <c r="U426" i="9"/>
  <c r="K429" i="9"/>
  <c r="V429" i="9"/>
  <c r="L419" i="9"/>
  <c r="W419" i="9"/>
  <c r="H421" i="9"/>
  <c r="S421" i="9"/>
  <c r="K427" i="9"/>
  <c r="V427" i="9"/>
  <c r="L427" i="9"/>
  <c r="W427" i="9"/>
  <c r="G422" i="9"/>
  <c r="R422" i="9"/>
  <c r="O426" i="9"/>
  <c r="Z426" i="9"/>
  <c r="O430" i="9"/>
  <c r="Z430" i="9"/>
  <c r="O434" i="9"/>
  <c r="Z434" i="9"/>
  <c r="F423" i="9"/>
  <c r="Q423" i="9"/>
  <c r="F427" i="9"/>
  <c r="Q427" i="9"/>
  <c r="F431" i="9"/>
  <c r="Q431" i="9"/>
  <c r="O420" i="9"/>
  <c r="Z420" i="9"/>
  <c r="O428" i="9"/>
  <c r="Z428" i="9"/>
  <c r="M421" i="9"/>
  <c r="X421" i="9"/>
  <c r="F421" i="9"/>
  <c r="Q421" i="9"/>
  <c r="F429" i="9"/>
  <c r="Q429" i="9"/>
  <c r="K426" i="9"/>
  <c r="V426" i="9"/>
  <c r="H420" i="9"/>
  <c r="S420" i="9"/>
  <c r="F425" i="9"/>
  <c r="Q425" i="9"/>
  <c r="N428" i="9"/>
  <c r="Y428" i="9"/>
  <c r="H419" i="9"/>
  <c r="S419" i="9"/>
  <c r="G427" i="9"/>
  <c r="R427" i="9"/>
  <c r="N432" i="9"/>
  <c r="Y432" i="9"/>
  <c r="O427" i="9"/>
  <c r="Z427" i="9"/>
  <c r="L431" i="9"/>
  <c r="W431" i="9"/>
  <c r="L423" i="9"/>
  <c r="W423" i="9"/>
  <c r="O429" i="9"/>
  <c r="Z429" i="9"/>
  <c r="O421" i="9"/>
  <c r="Z421" i="9"/>
  <c r="N424" i="9"/>
  <c r="Y424" i="9"/>
  <c r="G423" i="9"/>
  <c r="R423" i="9"/>
  <c r="G429" i="9"/>
  <c r="R429" i="9"/>
  <c r="I424" i="9"/>
  <c r="T424" i="9"/>
  <c r="H429" i="9"/>
  <c r="S429" i="9"/>
  <c r="M430" i="9"/>
  <c r="X430" i="9"/>
  <c r="G419" i="9"/>
  <c r="R419" i="9"/>
  <c r="M427" i="9"/>
  <c r="X427" i="9"/>
  <c r="N419" i="9"/>
  <c r="Y419" i="9"/>
  <c r="L432" i="9"/>
  <c r="W432" i="9"/>
  <c r="G428" i="9"/>
  <c r="R428" i="9"/>
  <c r="K434" i="9"/>
  <c r="V434" i="9"/>
  <c r="J431" i="9"/>
  <c r="U431" i="9"/>
  <c r="K425" i="9"/>
  <c r="V425" i="9"/>
  <c r="M424" i="9"/>
  <c r="X424" i="9"/>
  <c r="J420" i="9"/>
  <c r="U420" i="9"/>
  <c r="K424" i="9"/>
  <c r="V424" i="9"/>
  <c r="M433" i="9"/>
  <c r="X433" i="9"/>
  <c r="N421" i="9"/>
  <c r="Y421" i="9"/>
  <c r="O431" i="9"/>
  <c r="Z431" i="9"/>
  <c r="N426" i="9"/>
  <c r="Y426" i="9"/>
  <c r="G431" i="9"/>
  <c r="R431" i="9"/>
  <c r="I432" i="9"/>
  <c r="T432" i="9"/>
  <c r="J433" i="9"/>
  <c r="U433" i="9"/>
  <c r="F432" i="9"/>
  <c r="Q432" i="9"/>
  <c r="M426" i="9"/>
  <c r="X426" i="9"/>
  <c r="K420" i="9"/>
  <c r="V420" i="9"/>
  <c r="L420" i="9"/>
  <c r="W420" i="9"/>
  <c r="G424" i="9"/>
  <c r="R424" i="9"/>
  <c r="N433" i="9"/>
  <c r="Y433" i="9"/>
  <c r="F424" i="9"/>
  <c r="Q424" i="9"/>
  <c r="K421" i="9"/>
  <c r="V421" i="9"/>
  <c r="H431" i="9"/>
  <c r="S431" i="9"/>
  <c r="O433" i="9"/>
  <c r="Z433" i="9"/>
  <c r="L424" i="9"/>
  <c r="W424" i="9"/>
  <c r="K428" i="9"/>
  <c r="V428" i="9"/>
  <c r="J429" i="9"/>
  <c r="U429" i="9"/>
  <c r="I431" i="9"/>
  <c r="T431" i="9"/>
  <c r="F433" i="9"/>
  <c r="Q433" i="9"/>
  <c r="I422" i="9"/>
  <c r="T422" i="9"/>
  <c r="M434" i="9"/>
  <c r="X434" i="9"/>
  <c r="J432" i="9"/>
  <c r="U432" i="9"/>
  <c r="I433" i="9"/>
  <c r="T433" i="9"/>
  <c r="H424" i="9"/>
  <c r="S424" i="9"/>
  <c r="H423" i="9"/>
  <c r="S423" i="9"/>
  <c r="F434" i="9"/>
  <c r="Q434" i="9"/>
  <c r="G195" i="9"/>
  <c r="R195" i="9"/>
  <c r="L202" i="9"/>
  <c r="W202" i="9"/>
  <c r="F209" i="9"/>
  <c r="Q209" i="9"/>
  <c r="J201" i="9"/>
  <c r="U201" i="9"/>
  <c r="N207" i="9"/>
  <c r="Y207" i="9"/>
  <c r="F205" i="9"/>
  <c r="Q205" i="9"/>
  <c r="J203" i="9"/>
  <c r="U203" i="9"/>
  <c r="H202" i="9"/>
  <c r="S202" i="9"/>
  <c r="J195" i="9"/>
  <c r="U195" i="9"/>
  <c r="L209" i="9"/>
  <c r="W209" i="9"/>
  <c r="H203" i="9"/>
  <c r="S203" i="9"/>
  <c r="N196" i="9"/>
  <c r="Y196" i="9"/>
  <c r="K208" i="9"/>
  <c r="V208" i="9"/>
  <c r="G202" i="9"/>
  <c r="R202" i="9"/>
  <c r="M195" i="9"/>
  <c r="X195" i="9"/>
  <c r="G205" i="9"/>
  <c r="R205" i="9"/>
  <c r="M198" i="9"/>
  <c r="X198" i="9"/>
  <c r="H209" i="9"/>
  <c r="S209" i="9"/>
  <c r="N202" i="9"/>
  <c r="Y202" i="9"/>
  <c r="J196" i="9"/>
  <c r="U196" i="9"/>
  <c r="G208" i="9"/>
  <c r="R208" i="9"/>
  <c r="M201" i="9"/>
  <c r="X201" i="9"/>
  <c r="I195" i="9"/>
  <c r="T195" i="9"/>
  <c r="M204" i="9"/>
  <c r="X204" i="9"/>
  <c r="I198" i="9"/>
  <c r="T198" i="9"/>
  <c r="L203" i="9"/>
  <c r="W203" i="9"/>
  <c r="O208" i="9"/>
  <c r="Z208" i="9"/>
  <c r="G196" i="9"/>
  <c r="R196" i="9"/>
  <c r="G199" i="9"/>
  <c r="R199" i="9"/>
  <c r="G207" i="9"/>
  <c r="R207" i="9"/>
  <c r="N199" i="9"/>
  <c r="Y199" i="9"/>
  <c r="O205" i="9"/>
  <c r="Z205" i="9"/>
  <c r="J202" i="9"/>
  <c r="U202" i="9"/>
  <c r="M207" i="9"/>
  <c r="X207" i="9"/>
  <c r="M210" i="9"/>
  <c r="X210" i="9"/>
  <c r="O197" i="9"/>
  <c r="Z197" i="9"/>
  <c r="N198" i="9"/>
  <c r="Y198" i="9"/>
  <c r="O200" i="9"/>
  <c r="Z200" i="9"/>
  <c r="J210" i="9"/>
  <c r="U210" i="9"/>
  <c r="O202" i="9"/>
  <c r="Z202" i="9"/>
  <c r="J197" i="9"/>
  <c r="U197" i="9"/>
  <c r="J207" i="9"/>
  <c r="U207" i="9"/>
  <c r="F203" i="9"/>
  <c r="Q203" i="9"/>
  <c r="L196" i="9"/>
  <c r="W196" i="9"/>
  <c r="H198" i="9"/>
  <c r="S198" i="9"/>
  <c r="J205" i="9"/>
  <c r="U205" i="9"/>
  <c r="N203" i="9"/>
  <c r="Y203" i="9"/>
  <c r="N204" i="9"/>
  <c r="Y204" i="9"/>
  <c r="H195" i="9"/>
  <c r="S195" i="9"/>
  <c r="I205" i="9"/>
  <c r="T205" i="9"/>
  <c r="I197" i="9"/>
  <c r="T197" i="9"/>
  <c r="K203" i="9"/>
  <c r="V203" i="9"/>
  <c r="K195" i="9"/>
  <c r="V195" i="9"/>
  <c r="J204" i="9"/>
  <c r="U204" i="9"/>
  <c r="H200" i="9"/>
  <c r="S200" i="9"/>
  <c r="O204" i="9"/>
  <c r="Z204" i="9"/>
  <c r="O196" i="9"/>
  <c r="Z196" i="9"/>
  <c r="G203" i="9"/>
  <c r="R203" i="9"/>
  <c r="F210" i="9"/>
  <c r="Q210" i="9"/>
  <c r="J199" i="9"/>
  <c r="U199" i="9"/>
  <c r="M208" i="9"/>
  <c r="X208" i="9"/>
  <c r="K210" i="9"/>
  <c r="V210" i="9"/>
  <c r="N200" i="9"/>
  <c r="Y200" i="9"/>
  <c r="K199" i="9"/>
  <c r="V199" i="9"/>
  <c r="F196" i="9"/>
  <c r="Q196" i="9"/>
  <c r="G198" i="9"/>
  <c r="R198" i="9"/>
  <c r="J208" i="9"/>
  <c r="U208" i="9"/>
  <c r="I207" i="9"/>
  <c r="T207" i="9"/>
  <c r="K197" i="9"/>
  <c r="V197" i="9"/>
  <c r="K196" i="9"/>
  <c r="V196" i="9"/>
  <c r="F201" i="9"/>
  <c r="Q201" i="9"/>
  <c r="H196" i="9"/>
  <c r="S196" i="9"/>
  <c r="J209" i="9"/>
  <c r="U209" i="9"/>
  <c r="N209" i="9"/>
  <c r="Y209" i="9"/>
  <c r="L206" i="9"/>
  <c r="W206" i="9"/>
  <c r="J206" i="9"/>
  <c r="U206" i="9"/>
  <c r="F199" i="9"/>
  <c r="Q199" i="9"/>
  <c r="K200" i="9"/>
  <c r="V200" i="9"/>
  <c r="M206" i="9"/>
  <c r="X206" i="9"/>
  <c r="N210" i="9"/>
  <c r="Y210" i="9"/>
  <c r="L199" i="9"/>
  <c r="W199" i="9"/>
  <c r="K206" i="9"/>
  <c r="V206" i="9"/>
  <c r="K209" i="9"/>
  <c r="V209" i="9"/>
  <c r="O199" i="9"/>
  <c r="Z199" i="9"/>
  <c r="H197" i="9"/>
  <c r="S197" i="9"/>
  <c r="K205" i="9"/>
  <c r="V205" i="9"/>
  <c r="M200" i="9"/>
  <c r="X200" i="9"/>
  <c r="G209" i="9"/>
  <c r="R209" i="9"/>
  <c r="O210" i="9"/>
  <c r="Z210" i="9"/>
  <c r="I204" i="9"/>
  <c r="T204" i="9"/>
  <c r="L195" i="9"/>
  <c r="W195" i="9"/>
  <c r="F204" i="9"/>
  <c r="Q204" i="9"/>
  <c r="I196" i="9"/>
  <c r="T196" i="9"/>
  <c r="N205" i="9"/>
  <c r="Y205" i="9"/>
  <c r="H206" i="9"/>
  <c r="S206" i="9"/>
  <c r="F207" i="9"/>
  <c r="Q207" i="9"/>
  <c r="H210" i="9"/>
  <c r="S210" i="9"/>
  <c r="J198" i="9"/>
  <c r="U198" i="9"/>
  <c r="O198" i="9"/>
  <c r="Z198" i="9"/>
  <c r="I200" i="9"/>
  <c r="T200" i="9"/>
  <c r="H201" i="9"/>
  <c r="S201" i="9"/>
  <c r="I203" i="9"/>
  <c r="T203" i="9"/>
  <c r="I206" i="9"/>
  <c r="T206" i="9"/>
  <c r="J200" i="9"/>
  <c r="U200" i="9"/>
  <c r="I202" i="9"/>
  <c r="T202" i="9"/>
  <c r="G206" i="9"/>
  <c r="R206" i="9"/>
  <c r="H199" i="9"/>
  <c r="S199" i="9"/>
  <c r="G201" i="9"/>
  <c r="R201" i="9"/>
  <c r="I210" i="9"/>
  <c r="T210" i="9"/>
  <c r="M202" i="9"/>
  <c r="X202" i="9"/>
  <c r="H204" i="9"/>
  <c r="S204" i="9"/>
  <c r="L204" i="9"/>
  <c r="W204" i="9"/>
  <c r="F195" i="9"/>
  <c r="Q195" i="9"/>
  <c r="L200" i="9"/>
  <c r="W200" i="9"/>
  <c r="F200" i="9"/>
  <c r="Q200" i="9"/>
  <c r="M203" i="9"/>
  <c r="X203" i="9"/>
  <c r="O201" i="9"/>
  <c r="Z201" i="9"/>
  <c r="F206" i="9"/>
  <c r="Q206" i="9"/>
  <c r="M209" i="9"/>
  <c r="X209" i="9"/>
  <c r="O207" i="9"/>
  <c r="Z207" i="9"/>
  <c r="N206" i="9"/>
  <c r="Y206" i="9"/>
  <c r="I199" i="9"/>
  <c r="T199" i="9"/>
  <c r="H207" i="9"/>
  <c r="S207" i="9"/>
  <c r="L205" i="9"/>
  <c r="W205" i="9"/>
  <c r="K207" i="9"/>
  <c r="V207" i="9"/>
  <c r="G204" i="9"/>
  <c r="R204" i="9"/>
  <c r="I209" i="9"/>
  <c r="T209" i="9"/>
  <c r="N195" i="9"/>
  <c r="Y195" i="9"/>
  <c r="H208" i="9"/>
  <c r="S208" i="9"/>
  <c r="L201" i="9"/>
  <c r="W201" i="9"/>
  <c r="I208" i="9"/>
  <c r="T208" i="9"/>
  <c r="L198" i="9"/>
  <c r="W198" i="9"/>
  <c r="M196" i="9"/>
  <c r="X196" i="9"/>
  <c r="M197" i="9"/>
  <c r="X197" i="9"/>
  <c r="I201" i="9"/>
  <c r="T201" i="9"/>
  <c r="L197" i="9"/>
  <c r="W197" i="9"/>
  <c r="L210" i="9"/>
  <c r="W210" i="9"/>
  <c r="F197" i="9"/>
  <c r="Q197" i="9"/>
  <c r="G210" i="9"/>
  <c r="R210" i="9"/>
  <c r="G197" i="9"/>
  <c r="R197" i="9"/>
  <c r="G200" i="9"/>
  <c r="R200" i="9"/>
  <c r="M205" i="9"/>
  <c r="X205" i="9"/>
  <c r="M199" i="9"/>
  <c r="X199" i="9"/>
  <c r="H205" i="9"/>
  <c r="S205" i="9"/>
  <c r="N197" i="9"/>
  <c r="Y197" i="9"/>
  <c r="L208" i="9"/>
  <c r="W208" i="9"/>
  <c r="O206" i="9"/>
  <c r="Z206" i="9"/>
  <c r="L207" i="9"/>
  <c r="W207" i="9"/>
  <c r="K198" i="9"/>
  <c r="V198" i="9"/>
  <c r="K202" i="9"/>
  <c r="V202" i="9"/>
  <c r="N208" i="9"/>
  <c r="Y208" i="9"/>
  <c r="F202" i="9"/>
  <c r="Q202" i="9"/>
  <c r="N201" i="9"/>
  <c r="Y201" i="9"/>
  <c r="K201" i="9"/>
  <c r="V201" i="9"/>
  <c r="F198" i="9"/>
  <c r="Q198" i="9"/>
  <c r="O203" i="9"/>
  <c r="Z203" i="9"/>
  <c r="F208" i="9"/>
  <c r="Q208" i="9"/>
  <c r="O195" i="9"/>
  <c r="Z195" i="9"/>
  <c r="O209" i="9"/>
  <c r="Z209" i="9"/>
  <c r="K204" i="9"/>
  <c r="V204" i="9"/>
  <c r="P31" i="9"/>
  <c r="P21" i="9"/>
  <c r="F452" i="9"/>
  <c r="Q452" i="9"/>
  <c r="H455" i="9"/>
  <c r="S455" i="9"/>
  <c r="J458" i="9"/>
  <c r="U458" i="9"/>
  <c r="L461" i="9"/>
  <c r="W461" i="9"/>
  <c r="N464" i="9"/>
  <c r="Y464" i="9"/>
  <c r="G452" i="9"/>
  <c r="R452" i="9"/>
  <c r="I455" i="9"/>
  <c r="T455" i="9"/>
  <c r="K458" i="9"/>
  <c r="V458" i="9"/>
  <c r="M461" i="9"/>
  <c r="X461" i="9"/>
  <c r="O464" i="9"/>
  <c r="Z464" i="9"/>
  <c r="H453" i="9"/>
  <c r="S453" i="9"/>
  <c r="L459" i="9"/>
  <c r="W459" i="9"/>
  <c r="F466" i="9"/>
  <c r="Q466" i="9"/>
  <c r="N458" i="9"/>
  <c r="Y458" i="9"/>
  <c r="I453" i="9"/>
  <c r="T453" i="9"/>
  <c r="M459" i="9"/>
  <c r="X459" i="9"/>
  <c r="G466" i="9"/>
  <c r="R466" i="9"/>
  <c r="N466" i="9"/>
  <c r="Y466" i="9"/>
  <c r="N452" i="9"/>
  <c r="Y452" i="9"/>
  <c r="N456" i="9"/>
  <c r="Y456" i="9"/>
  <c r="N460" i="9"/>
  <c r="Y460" i="9"/>
  <c r="L465" i="9"/>
  <c r="W465" i="9"/>
  <c r="M453" i="9"/>
  <c r="X453" i="9"/>
  <c r="M457" i="9"/>
  <c r="X457" i="9"/>
  <c r="K462" i="9"/>
  <c r="V462" i="9"/>
  <c r="K466" i="9"/>
  <c r="V466" i="9"/>
  <c r="F458" i="9"/>
  <c r="Q458" i="9"/>
  <c r="J452" i="9"/>
  <c r="U452" i="9"/>
  <c r="H465" i="9"/>
  <c r="S465" i="9"/>
  <c r="G458" i="9"/>
  <c r="R458" i="9"/>
  <c r="H457" i="9"/>
  <c r="S457" i="9"/>
  <c r="O458" i="9"/>
  <c r="Z458" i="9"/>
  <c r="G454" i="9"/>
  <c r="R454" i="9"/>
  <c r="G462" i="9"/>
  <c r="R462" i="9"/>
  <c r="O461" i="9"/>
  <c r="Z461" i="9"/>
  <c r="K455" i="9"/>
  <c r="V455" i="9"/>
  <c r="F465" i="9"/>
  <c r="Q465" i="9"/>
  <c r="L458" i="9"/>
  <c r="W458" i="9"/>
  <c r="H452" i="9"/>
  <c r="S452" i="9"/>
  <c r="O457" i="9"/>
  <c r="Z457" i="9"/>
  <c r="F461" i="9"/>
  <c r="Q461" i="9"/>
  <c r="I466" i="9"/>
  <c r="T466" i="9"/>
  <c r="O459" i="9"/>
  <c r="Z459" i="9"/>
  <c r="K453" i="9"/>
  <c r="V453" i="9"/>
  <c r="F463" i="9"/>
  <c r="Q463" i="9"/>
  <c r="L456" i="9"/>
  <c r="W456" i="9"/>
  <c r="I464" i="9"/>
  <c r="T464" i="9"/>
  <c r="N465" i="9"/>
  <c r="Y465" i="9"/>
  <c r="F453" i="9"/>
  <c r="Q453" i="9"/>
  <c r="L460" i="9"/>
  <c r="W460" i="9"/>
  <c r="N463" i="9"/>
  <c r="Y463" i="9"/>
  <c r="M452" i="9"/>
  <c r="X452" i="9"/>
  <c r="J465" i="9"/>
  <c r="U465" i="9"/>
  <c r="F451" i="9"/>
  <c r="Q451" i="9"/>
  <c r="F456" i="9"/>
  <c r="Q456" i="9"/>
  <c r="J462" i="9"/>
  <c r="U462" i="9"/>
  <c r="I451" i="9"/>
  <c r="T451" i="9"/>
  <c r="O456" i="9"/>
  <c r="Z456" i="9"/>
  <c r="I463" i="9"/>
  <c r="T463" i="9"/>
  <c r="N454" i="9"/>
  <c r="Y454" i="9"/>
  <c r="J464" i="9"/>
  <c r="U464" i="9"/>
  <c r="M451" i="9"/>
  <c r="X451" i="9"/>
  <c r="O462" i="9"/>
  <c r="Z462" i="9"/>
  <c r="K452" i="9"/>
  <c r="V452" i="9"/>
  <c r="K460" i="9"/>
  <c r="V460" i="9"/>
  <c r="G465" i="9"/>
  <c r="R465" i="9"/>
  <c r="G457" i="9"/>
  <c r="R457" i="9"/>
  <c r="J463" i="9"/>
  <c r="U463" i="9"/>
  <c r="J455" i="9"/>
  <c r="U455" i="9"/>
  <c r="K459" i="9"/>
  <c r="V459" i="9"/>
  <c r="N457" i="9"/>
  <c r="Y457" i="9"/>
  <c r="G463" i="9"/>
  <c r="R463" i="9"/>
  <c r="G455" i="9"/>
  <c r="R455" i="9"/>
  <c r="J461" i="9"/>
  <c r="U461" i="9"/>
  <c r="J453" i="9"/>
  <c r="U453" i="9"/>
  <c r="G453" i="9"/>
  <c r="R453" i="9"/>
  <c r="O463" i="9"/>
  <c r="Z463" i="9"/>
  <c r="M460" i="9"/>
  <c r="X460" i="9"/>
  <c r="G459" i="9"/>
  <c r="R459" i="9"/>
  <c r="F459" i="9"/>
  <c r="Q459" i="9"/>
  <c r="L453" i="9"/>
  <c r="W453" i="9"/>
  <c r="F460" i="9"/>
  <c r="Q460" i="9"/>
  <c r="O452" i="9"/>
  <c r="Z452" i="9"/>
  <c r="G460" i="9"/>
  <c r="R460" i="9"/>
  <c r="L451" i="9"/>
  <c r="W451" i="9"/>
  <c r="F454" i="9"/>
  <c r="Q454" i="9"/>
  <c r="K456" i="9"/>
  <c r="V456" i="9"/>
  <c r="L463" i="9"/>
  <c r="W463" i="9"/>
  <c r="O466" i="9"/>
  <c r="Z466" i="9"/>
  <c r="I460" i="9"/>
  <c r="T460" i="9"/>
  <c r="L466" i="9"/>
  <c r="W466" i="9"/>
  <c r="N453" i="9"/>
  <c r="Y453" i="9"/>
  <c r="K451" i="9"/>
  <c r="V451" i="9"/>
  <c r="M464" i="9"/>
  <c r="X464" i="9"/>
  <c r="O451" i="9"/>
  <c r="Z451" i="9"/>
  <c r="H458" i="9"/>
  <c r="S458" i="9"/>
  <c r="I456" i="9"/>
  <c r="T456" i="9"/>
  <c r="K457" i="9"/>
  <c r="V457" i="9"/>
  <c r="J457" i="9"/>
  <c r="U457" i="9"/>
  <c r="O455" i="9"/>
  <c r="Z455" i="9"/>
  <c r="L457" i="9"/>
  <c r="W457" i="9"/>
  <c r="J466" i="9"/>
  <c r="U466" i="9"/>
  <c r="O460" i="9"/>
  <c r="Z460" i="9"/>
  <c r="H461" i="9"/>
  <c r="S461" i="9"/>
  <c r="O454" i="9"/>
  <c r="Z454" i="9"/>
  <c r="I465" i="9"/>
  <c r="T465" i="9"/>
  <c r="M466" i="9"/>
  <c r="X466" i="9"/>
  <c r="I452" i="9"/>
  <c r="T452" i="9"/>
  <c r="O465" i="9"/>
  <c r="Z465" i="9"/>
  <c r="L454" i="9"/>
  <c r="W454" i="9"/>
  <c r="M456" i="9"/>
  <c r="X456" i="9"/>
  <c r="F455" i="9"/>
  <c r="Q455" i="9"/>
  <c r="J459" i="9"/>
  <c r="U459" i="9"/>
  <c r="I454" i="9"/>
  <c r="T454" i="9"/>
  <c r="L452" i="9"/>
  <c r="W452" i="9"/>
  <c r="J454" i="9"/>
  <c r="U454" i="9"/>
  <c r="F464" i="9"/>
  <c r="Q464" i="9"/>
  <c r="I459" i="9"/>
  <c r="T459" i="9"/>
  <c r="J456" i="9"/>
  <c r="U456" i="9"/>
  <c r="F462" i="9"/>
  <c r="Q462" i="9"/>
  <c r="J460" i="9"/>
  <c r="U460" i="9"/>
  <c r="M455" i="9"/>
  <c r="X455" i="9"/>
  <c r="O453" i="9"/>
  <c r="Z453" i="9"/>
  <c r="F457" i="9"/>
  <c r="Q457" i="9"/>
  <c r="H464" i="9"/>
  <c r="S464" i="9"/>
  <c r="I458" i="9"/>
  <c r="T458" i="9"/>
  <c r="N459" i="9"/>
  <c r="Y459" i="9"/>
  <c r="L462" i="9"/>
  <c r="W462" i="9"/>
  <c r="H454" i="9"/>
  <c r="S454" i="9"/>
  <c r="I462" i="9"/>
  <c r="T462" i="9"/>
  <c r="I457" i="9"/>
  <c r="T457" i="9"/>
  <c r="H463" i="9"/>
  <c r="S463" i="9"/>
  <c r="M465" i="9"/>
  <c r="X465" i="9"/>
  <c r="K464" i="9"/>
  <c r="V464" i="9"/>
  <c r="M458" i="9"/>
  <c r="X458" i="9"/>
  <c r="M454" i="9"/>
  <c r="X454" i="9"/>
  <c r="L464" i="9"/>
  <c r="W464" i="9"/>
  <c r="G451" i="9"/>
  <c r="R451" i="9"/>
  <c r="K454" i="9"/>
  <c r="V454" i="9"/>
  <c r="N462" i="9"/>
  <c r="Y462" i="9"/>
  <c r="N461" i="9"/>
  <c r="Y461" i="9"/>
  <c r="J451" i="9"/>
  <c r="U451" i="9"/>
  <c r="N451" i="9"/>
  <c r="Y451" i="9"/>
  <c r="K465" i="9"/>
  <c r="V465" i="9"/>
  <c r="H451" i="9"/>
  <c r="S451" i="9"/>
  <c r="G456" i="9"/>
  <c r="R456" i="9"/>
  <c r="L455" i="9"/>
  <c r="W455" i="9"/>
  <c r="M463" i="9"/>
  <c r="X463" i="9"/>
  <c r="H460" i="9"/>
  <c r="S460" i="9"/>
  <c r="K461" i="9"/>
  <c r="V461" i="9"/>
  <c r="G461" i="9"/>
  <c r="R461" i="9"/>
  <c r="N455" i="9"/>
  <c r="Y455" i="9"/>
  <c r="H459" i="9"/>
  <c r="S459" i="9"/>
  <c r="M462" i="9"/>
  <c r="X462" i="9"/>
  <c r="K463" i="9"/>
  <c r="V463" i="9"/>
  <c r="H462" i="9"/>
  <c r="S462" i="9"/>
  <c r="G464" i="9"/>
  <c r="R464" i="9"/>
  <c r="H466" i="9"/>
  <c r="S466" i="9"/>
  <c r="I461" i="9"/>
  <c r="T461" i="9"/>
  <c r="H456" i="9"/>
  <c r="S456" i="9"/>
  <c r="P70" i="9"/>
  <c r="P106" i="9"/>
  <c r="P101" i="9"/>
  <c r="P103" i="9"/>
  <c r="G883" i="9"/>
  <c r="R883" i="9"/>
  <c r="H885" i="9"/>
  <c r="S885" i="9"/>
  <c r="I887" i="9"/>
  <c r="T887" i="9"/>
  <c r="K889" i="9"/>
  <c r="V889" i="9"/>
  <c r="L891" i="9"/>
  <c r="W891" i="9"/>
  <c r="M893" i="9"/>
  <c r="X893" i="9"/>
  <c r="O895" i="9"/>
  <c r="Z895" i="9"/>
  <c r="F898" i="9"/>
  <c r="Q898" i="9"/>
  <c r="I884" i="9"/>
  <c r="T884" i="9"/>
  <c r="J886" i="9"/>
  <c r="U886" i="9"/>
  <c r="K888" i="9"/>
  <c r="V888" i="9"/>
  <c r="M890" i="9"/>
  <c r="X890" i="9"/>
  <c r="N892" i="9"/>
  <c r="Y892" i="9"/>
  <c r="O894" i="9"/>
  <c r="Z894" i="9"/>
  <c r="G897" i="9"/>
  <c r="R897" i="9"/>
  <c r="F884" i="9"/>
  <c r="Q884" i="9"/>
  <c r="I888" i="9"/>
  <c r="T888" i="9"/>
  <c r="K892" i="9"/>
  <c r="V892" i="9"/>
  <c r="N896" i="9"/>
  <c r="Y896" i="9"/>
  <c r="J884" i="9"/>
  <c r="U884" i="9"/>
  <c r="M888" i="9"/>
  <c r="X888" i="9"/>
  <c r="O892" i="9"/>
  <c r="Z892" i="9"/>
  <c r="H897" i="9"/>
  <c r="S897" i="9"/>
  <c r="N888" i="9"/>
  <c r="Y888" i="9"/>
  <c r="I897" i="9"/>
  <c r="T897" i="9"/>
  <c r="J898" i="9"/>
  <c r="U898" i="9"/>
  <c r="I890" i="9"/>
  <c r="T890" i="9"/>
  <c r="N898" i="9"/>
  <c r="Y898" i="9"/>
  <c r="I891" i="9"/>
  <c r="T891" i="9"/>
  <c r="K883" i="9"/>
  <c r="V883" i="9"/>
  <c r="L898" i="9"/>
  <c r="W898" i="9"/>
  <c r="H892" i="9"/>
  <c r="S892" i="9"/>
  <c r="N885" i="9"/>
  <c r="Y885" i="9"/>
  <c r="F895" i="9"/>
  <c r="Q895" i="9"/>
  <c r="L888" i="9"/>
  <c r="W888" i="9"/>
  <c r="N897" i="9"/>
  <c r="Y897" i="9"/>
  <c r="F885" i="9"/>
  <c r="Q885" i="9"/>
  <c r="J883" i="9"/>
  <c r="U883" i="9"/>
  <c r="N887" i="9"/>
  <c r="Y887" i="9"/>
  <c r="J889" i="9"/>
  <c r="U889" i="9"/>
  <c r="G884" i="9"/>
  <c r="R884" i="9"/>
  <c r="N886" i="9"/>
  <c r="Y886" i="9"/>
  <c r="F890" i="9"/>
  <c r="Q890" i="9"/>
  <c r="M892" i="9"/>
  <c r="X892" i="9"/>
  <c r="I895" i="9"/>
  <c r="T895" i="9"/>
  <c r="K898" i="9"/>
  <c r="V898" i="9"/>
  <c r="I885" i="9"/>
  <c r="T885" i="9"/>
  <c r="F888" i="9"/>
  <c r="Q888" i="9"/>
  <c r="H891" i="9"/>
  <c r="S891" i="9"/>
  <c r="O893" i="9"/>
  <c r="Z893" i="9"/>
  <c r="K896" i="9"/>
  <c r="V896" i="9"/>
  <c r="G885" i="9"/>
  <c r="R885" i="9"/>
  <c r="J890" i="9"/>
  <c r="U890" i="9"/>
  <c r="M895" i="9"/>
  <c r="X895" i="9"/>
  <c r="K885" i="9"/>
  <c r="V885" i="9"/>
  <c r="N890" i="9"/>
  <c r="Y890" i="9"/>
  <c r="G896" i="9"/>
  <c r="R896" i="9"/>
  <c r="O890" i="9"/>
  <c r="Z890" i="9"/>
  <c r="O889" i="9"/>
  <c r="Z889" i="9"/>
  <c r="G888" i="9"/>
  <c r="R888" i="9"/>
  <c r="O884" i="9"/>
  <c r="Z884" i="9"/>
  <c r="L895" i="9"/>
  <c r="W895" i="9"/>
  <c r="I896" i="9"/>
  <c r="T896" i="9"/>
  <c r="L890" i="9"/>
  <c r="W890" i="9"/>
  <c r="H898" i="9"/>
  <c r="S898" i="9"/>
  <c r="H890" i="9"/>
  <c r="S890" i="9"/>
  <c r="L894" i="9"/>
  <c r="W894" i="9"/>
  <c r="F893" i="9"/>
  <c r="Q893" i="9"/>
  <c r="F891" i="9"/>
  <c r="Q891" i="9"/>
  <c r="H886" i="9"/>
  <c r="S886" i="9"/>
  <c r="M884" i="9"/>
  <c r="X884" i="9"/>
  <c r="O887" i="9"/>
  <c r="Z887" i="9"/>
  <c r="K890" i="9"/>
  <c r="V890" i="9"/>
  <c r="H893" i="9"/>
  <c r="S893" i="9"/>
  <c r="J896" i="9"/>
  <c r="U896" i="9"/>
  <c r="H883" i="9"/>
  <c r="S883" i="9"/>
  <c r="O885" i="9"/>
  <c r="Z885" i="9"/>
  <c r="G889" i="9"/>
  <c r="R889" i="9"/>
  <c r="M891" i="9"/>
  <c r="X891" i="9"/>
  <c r="J894" i="9"/>
  <c r="U894" i="9"/>
  <c r="L897" i="9"/>
  <c r="W897" i="9"/>
  <c r="G886" i="9"/>
  <c r="R886" i="9"/>
  <c r="K891" i="9"/>
  <c r="V891" i="9"/>
  <c r="O897" i="9"/>
  <c r="Z897" i="9"/>
  <c r="K886" i="9"/>
  <c r="V886" i="9"/>
  <c r="O891" i="9"/>
  <c r="Z891" i="9"/>
  <c r="I898" i="9"/>
  <c r="T898" i="9"/>
  <c r="G893" i="9"/>
  <c r="R893" i="9"/>
  <c r="G894" i="9"/>
  <c r="R894" i="9"/>
  <c r="J892" i="9"/>
  <c r="U892" i="9"/>
  <c r="G887" i="9"/>
  <c r="R887" i="9"/>
  <c r="M897" i="9"/>
  <c r="X897" i="9"/>
  <c r="F897" i="9"/>
  <c r="Q897" i="9"/>
  <c r="F889" i="9"/>
  <c r="Q889" i="9"/>
  <c r="L896" i="9"/>
  <c r="W896" i="9"/>
  <c r="F887" i="9"/>
  <c r="Q887" i="9"/>
  <c r="J891" i="9"/>
  <c r="U891" i="9"/>
  <c r="N889" i="9"/>
  <c r="Y889" i="9"/>
  <c r="L884" i="9"/>
  <c r="W884" i="9"/>
  <c r="N895" i="9"/>
  <c r="Y895" i="9"/>
  <c r="I886" i="9"/>
  <c r="T886" i="9"/>
  <c r="G892" i="9"/>
  <c r="R892" i="9"/>
  <c r="K897" i="9"/>
  <c r="V897" i="9"/>
  <c r="K887" i="9"/>
  <c r="V887" i="9"/>
  <c r="I893" i="9"/>
  <c r="T893" i="9"/>
  <c r="M898" i="9"/>
  <c r="X898" i="9"/>
  <c r="M894" i="9"/>
  <c r="X894" i="9"/>
  <c r="M889" i="9"/>
  <c r="X889" i="9"/>
  <c r="M886" i="9"/>
  <c r="X886" i="9"/>
  <c r="F886" i="9"/>
  <c r="Q886" i="9"/>
  <c r="K893" i="9"/>
  <c r="V893" i="9"/>
  <c r="N893" i="9"/>
  <c r="Y893" i="9"/>
  <c r="N891" i="9"/>
  <c r="Y891" i="9"/>
  <c r="L892" i="9"/>
  <c r="W892" i="9"/>
  <c r="L883" i="9"/>
  <c r="W883" i="9"/>
  <c r="N894" i="9"/>
  <c r="Y894" i="9"/>
  <c r="G890" i="9"/>
  <c r="R890" i="9"/>
  <c r="I889" i="9"/>
  <c r="T889" i="9"/>
  <c r="G895" i="9"/>
  <c r="R895" i="9"/>
  <c r="M896" i="9"/>
  <c r="X896" i="9"/>
  <c r="H884" i="9"/>
  <c r="S884" i="9"/>
  <c r="H894" i="9"/>
  <c r="S894" i="9"/>
  <c r="M885" i="9"/>
  <c r="X885" i="9"/>
  <c r="G891" i="9"/>
  <c r="R891" i="9"/>
  <c r="O896" i="9"/>
  <c r="Z896" i="9"/>
  <c r="O886" i="9"/>
  <c r="Z886" i="9"/>
  <c r="I892" i="9"/>
  <c r="T892" i="9"/>
  <c r="G898" i="9"/>
  <c r="R898" i="9"/>
  <c r="L893" i="9"/>
  <c r="W893" i="9"/>
  <c r="L887" i="9"/>
  <c r="W887" i="9"/>
  <c r="K884" i="9"/>
  <c r="V884" i="9"/>
  <c r="O883" i="9"/>
  <c r="Z883" i="9"/>
  <c r="H889" i="9"/>
  <c r="S889" i="9"/>
  <c r="J895" i="9"/>
  <c r="U895" i="9"/>
  <c r="J893" i="9"/>
  <c r="U893" i="9"/>
  <c r="H888" i="9"/>
  <c r="S888" i="9"/>
  <c r="L886" i="9"/>
  <c r="W886" i="9"/>
  <c r="H896" i="9"/>
  <c r="S896" i="9"/>
  <c r="F883" i="9"/>
  <c r="Q883" i="9"/>
  <c r="J888" i="9"/>
  <c r="U888" i="9"/>
  <c r="I894" i="9"/>
  <c r="T894" i="9"/>
  <c r="M883" i="9"/>
  <c r="X883" i="9"/>
  <c r="L889" i="9"/>
  <c r="W889" i="9"/>
  <c r="K895" i="9"/>
  <c r="V895" i="9"/>
  <c r="H887" i="9"/>
  <c r="S887" i="9"/>
  <c r="O898" i="9"/>
  <c r="Z898" i="9"/>
  <c r="F894" i="9"/>
  <c r="Q894" i="9"/>
  <c r="H895" i="9"/>
  <c r="S895" i="9"/>
  <c r="K894" i="9"/>
  <c r="V894" i="9"/>
  <c r="M887" i="9"/>
  <c r="X887" i="9"/>
  <c r="J887" i="9"/>
  <c r="U887" i="9"/>
  <c r="J885" i="9"/>
  <c r="U885" i="9"/>
  <c r="J897" i="9"/>
  <c r="U897" i="9"/>
  <c r="O888" i="9"/>
  <c r="Z888" i="9"/>
  <c r="N884" i="9"/>
  <c r="Y884" i="9"/>
  <c r="F896" i="9"/>
  <c r="Q896" i="9"/>
  <c r="I883" i="9"/>
  <c r="T883" i="9"/>
  <c r="L885" i="9"/>
  <c r="W885" i="9"/>
  <c r="F892" i="9"/>
  <c r="Q892" i="9"/>
  <c r="N883" i="9"/>
  <c r="Y883" i="9"/>
  <c r="L392" i="9"/>
  <c r="W392" i="9"/>
  <c r="F399" i="9"/>
  <c r="Q399" i="9"/>
  <c r="F393" i="9"/>
  <c r="Q393" i="9"/>
  <c r="J401" i="9"/>
  <c r="U401" i="9"/>
  <c r="J395" i="9"/>
  <c r="U395" i="9"/>
  <c r="N389" i="9"/>
  <c r="Y389" i="9"/>
  <c r="H398" i="9"/>
  <c r="S398" i="9"/>
  <c r="L398" i="9"/>
  <c r="W398" i="9"/>
  <c r="L394" i="9"/>
  <c r="W394" i="9"/>
  <c r="N396" i="9"/>
  <c r="Y396" i="9"/>
  <c r="J390" i="9"/>
  <c r="U390" i="9"/>
  <c r="G402" i="9"/>
  <c r="R402" i="9"/>
  <c r="M395" i="9"/>
  <c r="X395" i="9"/>
  <c r="I389" i="9"/>
  <c r="T389" i="9"/>
  <c r="M398" i="9"/>
  <c r="X398" i="9"/>
  <c r="I392" i="9"/>
  <c r="T392" i="9"/>
  <c r="J402" i="9"/>
  <c r="U402" i="9"/>
  <c r="L389" i="9"/>
  <c r="W389" i="9"/>
  <c r="I393" i="9"/>
  <c r="T393" i="9"/>
  <c r="I396" i="9"/>
  <c r="T396" i="9"/>
  <c r="H401" i="9"/>
  <c r="S401" i="9"/>
  <c r="N394" i="9"/>
  <c r="Y394" i="9"/>
  <c r="J388" i="9"/>
  <c r="U388" i="9"/>
  <c r="G400" i="9"/>
  <c r="R400" i="9"/>
  <c r="M393" i="9"/>
  <c r="X393" i="9"/>
  <c r="I387" i="9"/>
  <c r="T387" i="9"/>
  <c r="M396" i="9"/>
  <c r="X396" i="9"/>
  <c r="I390" i="9"/>
  <c r="T390" i="9"/>
  <c r="J394" i="9"/>
  <c r="U394" i="9"/>
  <c r="I401" i="9"/>
  <c r="T401" i="9"/>
  <c r="K388" i="9"/>
  <c r="V388" i="9"/>
  <c r="K391" i="9"/>
  <c r="V391" i="9"/>
  <c r="K402" i="9"/>
  <c r="V402" i="9"/>
  <c r="M392" i="9"/>
  <c r="X392" i="9"/>
  <c r="O395" i="9"/>
  <c r="Z395" i="9"/>
  <c r="L395" i="9"/>
  <c r="W395" i="9"/>
  <c r="G388" i="9"/>
  <c r="R388" i="9"/>
  <c r="I399" i="9"/>
  <c r="T399" i="9"/>
  <c r="J392" i="9"/>
  <c r="U392" i="9"/>
  <c r="I394" i="9"/>
  <c r="T394" i="9"/>
  <c r="G387" i="9"/>
  <c r="R387" i="9"/>
  <c r="N395" i="9"/>
  <c r="Y395" i="9"/>
  <c r="L390" i="9"/>
  <c r="W390" i="9"/>
  <c r="F389" i="9"/>
  <c r="Q389" i="9"/>
  <c r="N399" i="9"/>
  <c r="Y399" i="9"/>
  <c r="H396" i="9"/>
  <c r="S396" i="9"/>
  <c r="L396" i="9"/>
  <c r="W396" i="9"/>
  <c r="F400" i="9"/>
  <c r="Q400" i="9"/>
  <c r="F392" i="9"/>
  <c r="Q392" i="9"/>
  <c r="K400" i="9"/>
  <c r="V400" i="9"/>
  <c r="K392" i="9"/>
  <c r="V392" i="9"/>
  <c r="I400" i="9"/>
  <c r="T400" i="9"/>
  <c r="M390" i="9"/>
  <c r="X390" i="9"/>
  <c r="F396" i="9"/>
  <c r="Q396" i="9"/>
  <c r="K396" i="9"/>
  <c r="V396" i="9"/>
  <c r="G393" i="9"/>
  <c r="R393" i="9"/>
  <c r="F398" i="9"/>
  <c r="Q398" i="9"/>
  <c r="F390" i="9"/>
  <c r="Q390" i="9"/>
  <c r="K398" i="9"/>
  <c r="V398" i="9"/>
  <c r="K390" i="9"/>
  <c r="V390" i="9"/>
  <c r="I398" i="9"/>
  <c r="T398" i="9"/>
  <c r="M388" i="9"/>
  <c r="X388" i="9"/>
  <c r="F388" i="9"/>
  <c r="Q388" i="9"/>
  <c r="M391" i="9"/>
  <c r="X391" i="9"/>
  <c r="I388" i="9"/>
  <c r="T388" i="9"/>
  <c r="M389" i="9"/>
  <c r="X389" i="9"/>
  <c r="O392" i="9"/>
  <c r="Z392" i="9"/>
  <c r="H389" i="9"/>
  <c r="S389" i="9"/>
  <c r="G391" i="9"/>
  <c r="R391" i="9"/>
  <c r="N398" i="9"/>
  <c r="Y398" i="9"/>
  <c r="J389" i="9"/>
  <c r="U389" i="9"/>
  <c r="L400" i="9"/>
  <c r="W400" i="9"/>
  <c r="J399" i="9"/>
  <c r="U399" i="9"/>
  <c r="N401" i="9"/>
  <c r="Y401" i="9"/>
  <c r="L402" i="9"/>
  <c r="W402" i="9"/>
  <c r="L401" i="9"/>
  <c r="W401" i="9"/>
  <c r="N388" i="9"/>
  <c r="Y388" i="9"/>
  <c r="I397" i="9"/>
  <c r="T397" i="9"/>
  <c r="O401" i="9"/>
  <c r="Z401" i="9"/>
  <c r="G389" i="9"/>
  <c r="R389" i="9"/>
  <c r="O402" i="9"/>
  <c r="Z402" i="9"/>
  <c r="K399" i="9"/>
  <c r="V399" i="9"/>
  <c r="J396" i="9"/>
  <c r="U396" i="9"/>
  <c r="F387" i="9"/>
  <c r="Q387" i="9"/>
  <c r="G392" i="9"/>
  <c r="R392" i="9"/>
  <c r="G395" i="9"/>
  <c r="R395" i="9"/>
  <c r="L397" i="9"/>
  <c r="W397" i="9"/>
  <c r="O394" i="9"/>
  <c r="Z394" i="9"/>
  <c r="H397" i="9"/>
  <c r="S397" i="9"/>
  <c r="J400" i="9"/>
  <c r="U400" i="9"/>
  <c r="F402" i="9"/>
  <c r="Q402" i="9"/>
  <c r="F394" i="9"/>
  <c r="Q394" i="9"/>
  <c r="M397" i="9"/>
  <c r="X397" i="9"/>
  <c r="H392" i="9"/>
  <c r="S392" i="9"/>
  <c r="H402" i="9"/>
  <c r="S402" i="9"/>
  <c r="J393" i="9"/>
  <c r="U393" i="9"/>
  <c r="H400" i="9"/>
  <c r="S400" i="9"/>
  <c r="J398" i="9"/>
  <c r="U398" i="9"/>
  <c r="J387" i="9"/>
  <c r="U387" i="9"/>
  <c r="M387" i="9"/>
  <c r="X387" i="9"/>
  <c r="K387" i="9"/>
  <c r="V387" i="9"/>
  <c r="G390" i="9"/>
  <c r="R390" i="9"/>
  <c r="L399" i="9"/>
  <c r="W399" i="9"/>
  <c r="M401" i="9"/>
  <c r="X401" i="9"/>
  <c r="K401" i="9"/>
  <c r="V401" i="9"/>
  <c r="N400" i="9"/>
  <c r="Y400" i="9"/>
  <c r="G401" i="9"/>
  <c r="R401" i="9"/>
  <c r="G396" i="9"/>
  <c r="R396" i="9"/>
  <c r="O387" i="9"/>
  <c r="Z387" i="9"/>
  <c r="I402" i="9"/>
  <c r="T402" i="9"/>
  <c r="F391" i="9"/>
  <c r="Q391" i="9"/>
  <c r="F395" i="9"/>
  <c r="Q395" i="9"/>
  <c r="N397" i="9"/>
  <c r="Y397" i="9"/>
  <c r="H390" i="9"/>
  <c r="S390" i="9"/>
  <c r="H395" i="9"/>
  <c r="S395" i="9"/>
  <c r="O398" i="9"/>
  <c r="Z398" i="9"/>
  <c r="G397" i="9"/>
  <c r="R397" i="9"/>
  <c r="H399" i="9"/>
  <c r="S399" i="9"/>
  <c r="M402" i="9"/>
  <c r="X402" i="9"/>
  <c r="H393" i="9"/>
  <c r="S393" i="9"/>
  <c r="O396" i="9"/>
  <c r="Z396" i="9"/>
  <c r="O399" i="9"/>
  <c r="Z399" i="9"/>
  <c r="H391" i="9"/>
  <c r="S391" i="9"/>
  <c r="O397" i="9"/>
  <c r="Z397" i="9"/>
  <c r="G399" i="9"/>
  <c r="R399" i="9"/>
  <c r="O400" i="9"/>
  <c r="Z400" i="9"/>
  <c r="K389" i="9"/>
  <c r="V389" i="9"/>
  <c r="H394" i="9"/>
  <c r="S394" i="9"/>
  <c r="F397" i="9"/>
  <c r="Q397" i="9"/>
  <c r="N391" i="9"/>
  <c r="Y391" i="9"/>
  <c r="L393" i="9"/>
  <c r="W393" i="9"/>
  <c r="G394" i="9"/>
  <c r="R394" i="9"/>
  <c r="K395" i="9"/>
  <c r="V395" i="9"/>
  <c r="N392" i="9"/>
  <c r="Y392" i="9"/>
  <c r="O389" i="9"/>
  <c r="Z389" i="9"/>
  <c r="L391" i="9"/>
  <c r="W391" i="9"/>
  <c r="I395" i="9"/>
  <c r="T395" i="9"/>
  <c r="K393" i="9"/>
  <c r="V393" i="9"/>
  <c r="H388" i="9"/>
  <c r="S388" i="9"/>
  <c r="M394" i="9"/>
  <c r="X394" i="9"/>
  <c r="L387" i="9"/>
  <c r="W387" i="9"/>
  <c r="K394" i="9"/>
  <c r="V394" i="9"/>
  <c r="N387" i="9"/>
  <c r="Y387" i="9"/>
  <c r="J391" i="9"/>
  <c r="U391" i="9"/>
  <c r="O390" i="9"/>
  <c r="Z390" i="9"/>
  <c r="L388" i="9"/>
  <c r="W388" i="9"/>
  <c r="N390" i="9"/>
  <c r="Y390" i="9"/>
  <c r="F401" i="9"/>
  <c r="Q401" i="9"/>
  <c r="O391" i="9"/>
  <c r="Z391" i="9"/>
  <c r="J397" i="9"/>
  <c r="U397" i="9"/>
  <c r="H387" i="9"/>
  <c r="S387" i="9"/>
  <c r="N402" i="9"/>
  <c r="Y402" i="9"/>
  <c r="G398" i="9"/>
  <c r="R398" i="9"/>
  <c r="M400" i="9"/>
  <c r="X400" i="9"/>
  <c r="N393" i="9"/>
  <c r="Y393" i="9"/>
  <c r="O393" i="9"/>
  <c r="Z393" i="9"/>
  <c r="O388" i="9"/>
  <c r="Z388" i="9"/>
  <c r="I391" i="9"/>
  <c r="T391" i="9"/>
  <c r="M399" i="9"/>
  <c r="X399" i="9"/>
  <c r="K397" i="9"/>
  <c r="V397" i="9"/>
  <c r="P1077" i="9"/>
  <c r="P1082" i="9"/>
  <c r="P1076" i="9"/>
  <c r="P40" i="9"/>
  <c r="P30" i="9"/>
  <c r="P33" i="9"/>
  <c r="P34" i="9"/>
  <c r="F643" i="9"/>
  <c r="Q643" i="9"/>
  <c r="O646" i="9"/>
  <c r="Z646" i="9"/>
  <c r="G650" i="9"/>
  <c r="R650" i="9"/>
  <c r="I653" i="9"/>
  <c r="T653" i="9"/>
  <c r="K656" i="9"/>
  <c r="V656" i="9"/>
  <c r="I643" i="9"/>
  <c r="T643" i="9"/>
  <c r="K650" i="9"/>
  <c r="V650" i="9"/>
  <c r="G656" i="9"/>
  <c r="R656" i="9"/>
  <c r="J646" i="9"/>
  <c r="U646" i="9"/>
  <c r="L649" i="9"/>
  <c r="W649" i="9"/>
  <c r="N652" i="9"/>
  <c r="Y652" i="9"/>
  <c r="F656" i="9"/>
  <c r="Q656" i="9"/>
  <c r="O644" i="9"/>
  <c r="Z644" i="9"/>
  <c r="I651" i="9"/>
  <c r="T651" i="9"/>
  <c r="K658" i="9"/>
  <c r="V658" i="9"/>
  <c r="N646" i="9"/>
  <c r="Y646" i="9"/>
  <c r="F650" i="9"/>
  <c r="Q650" i="9"/>
  <c r="H653" i="9"/>
  <c r="S653" i="9"/>
  <c r="J656" i="9"/>
  <c r="U656" i="9"/>
  <c r="L643" i="9"/>
  <c r="W643" i="9"/>
  <c r="G653" i="9"/>
  <c r="R653" i="9"/>
  <c r="M646" i="9"/>
  <c r="X646" i="9"/>
  <c r="H656" i="9"/>
  <c r="S656" i="9"/>
  <c r="N649" i="9"/>
  <c r="Y649" i="9"/>
  <c r="J643" i="9"/>
  <c r="U643" i="9"/>
  <c r="O655" i="9"/>
  <c r="Z655" i="9"/>
  <c r="K649" i="9"/>
  <c r="V649" i="9"/>
  <c r="G643" i="9"/>
  <c r="R643" i="9"/>
  <c r="L652" i="9"/>
  <c r="W652" i="9"/>
  <c r="H646" i="9"/>
  <c r="S646" i="9"/>
  <c r="I652" i="9"/>
  <c r="T652" i="9"/>
  <c r="J655" i="9"/>
  <c r="U655" i="9"/>
  <c r="K647" i="9"/>
  <c r="V647" i="9"/>
  <c r="G655" i="9"/>
  <c r="R655" i="9"/>
  <c r="H658" i="9"/>
  <c r="S658" i="9"/>
  <c r="J645" i="9"/>
  <c r="U645" i="9"/>
  <c r="M650" i="9"/>
  <c r="X650" i="9"/>
  <c r="H644" i="9"/>
  <c r="S644" i="9"/>
  <c r="F647" i="9"/>
  <c r="Q647" i="9"/>
  <c r="G647" i="9"/>
  <c r="R647" i="9"/>
  <c r="I645" i="9"/>
  <c r="T645" i="9"/>
  <c r="I649" i="9"/>
  <c r="T649" i="9"/>
  <c r="G654" i="9"/>
  <c r="R654" i="9"/>
  <c r="G658" i="9"/>
  <c r="R658" i="9"/>
  <c r="O648" i="9"/>
  <c r="Z648" i="9"/>
  <c r="M657" i="9"/>
  <c r="X657" i="9"/>
  <c r="F648" i="9"/>
  <c r="Q648" i="9"/>
  <c r="F652" i="9"/>
  <c r="Q652" i="9"/>
  <c r="N656" i="9"/>
  <c r="Y656" i="9"/>
  <c r="G648" i="9"/>
  <c r="R648" i="9"/>
  <c r="O656" i="9"/>
  <c r="Z656" i="9"/>
  <c r="L647" i="9"/>
  <c r="W647" i="9"/>
  <c r="L651" i="9"/>
  <c r="W651" i="9"/>
  <c r="L655" i="9"/>
  <c r="W655" i="9"/>
  <c r="O657" i="9"/>
  <c r="Z657" i="9"/>
  <c r="O649" i="9"/>
  <c r="Z649" i="9"/>
  <c r="N657" i="9"/>
  <c r="Y657" i="9"/>
  <c r="H648" i="9"/>
  <c r="S648" i="9"/>
  <c r="H643" i="9"/>
  <c r="S643" i="9"/>
  <c r="G651" i="9"/>
  <c r="R651" i="9"/>
  <c r="J657" i="9"/>
  <c r="U657" i="9"/>
  <c r="J649" i="9"/>
  <c r="U649" i="9"/>
  <c r="K655" i="9"/>
  <c r="V655" i="9"/>
  <c r="H652" i="9"/>
  <c r="S652" i="9"/>
  <c r="J647" i="9"/>
  <c r="U647" i="9"/>
  <c r="K645" i="9"/>
  <c r="V645" i="9"/>
  <c r="J644" i="9"/>
  <c r="U644" i="9"/>
  <c r="F657" i="9"/>
  <c r="Q657" i="9"/>
  <c r="N643" i="9"/>
  <c r="Y643" i="9"/>
  <c r="H650" i="9"/>
  <c r="S650" i="9"/>
  <c r="K648" i="9"/>
  <c r="V648" i="9"/>
  <c r="O654" i="9"/>
  <c r="Z654" i="9"/>
  <c r="M645" i="9"/>
  <c r="X645" i="9"/>
  <c r="K654" i="9"/>
  <c r="V654" i="9"/>
  <c r="N648" i="9"/>
  <c r="Y648" i="9"/>
  <c r="J654" i="9"/>
  <c r="U654" i="9"/>
  <c r="K646" i="9"/>
  <c r="V646" i="9"/>
  <c r="M643" i="9"/>
  <c r="X643" i="9"/>
  <c r="H649" i="9"/>
  <c r="S649" i="9"/>
  <c r="N654" i="9"/>
  <c r="Y654" i="9"/>
  <c r="I656" i="9"/>
  <c r="T656" i="9"/>
  <c r="G645" i="9"/>
  <c r="R645" i="9"/>
  <c r="J651" i="9"/>
  <c r="U651" i="9"/>
  <c r="K657" i="9"/>
  <c r="V657" i="9"/>
  <c r="I646" i="9"/>
  <c r="T646" i="9"/>
  <c r="F651" i="9"/>
  <c r="Q651" i="9"/>
  <c r="G649" i="9"/>
  <c r="R649" i="9"/>
  <c r="N645" i="9"/>
  <c r="Y645" i="9"/>
  <c r="M648" i="9"/>
  <c r="X648" i="9"/>
  <c r="G657" i="9"/>
  <c r="R657" i="9"/>
  <c r="K653" i="9"/>
  <c r="V653" i="9"/>
  <c r="F644" i="9"/>
  <c r="Q644" i="9"/>
  <c r="O650" i="9"/>
  <c r="Z650" i="9"/>
  <c r="I657" i="9"/>
  <c r="T657" i="9"/>
  <c r="O652" i="9"/>
  <c r="Z652" i="9"/>
  <c r="J650" i="9"/>
  <c r="U650" i="9"/>
  <c r="L657" i="9"/>
  <c r="W657" i="9"/>
  <c r="I655" i="9"/>
  <c r="T655" i="9"/>
  <c r="N650" i="9"/>
  <c r="Y650" i="9"/>
  <c r="F658" i="9"/>
  <c r="Q658" i="9"/>
  <c r="I648" i="9"/>
  <c r="T648" i="9"/>
  <c r="L646" i="9"/>
  <c r="W646" i="9"/>
  <c r="M652" i="9"/>
  <c r="X652" i="9"/>
  <c r="H654" i="9"/>
  <c r="S654" i="9"/>
  <c r="O645" i="9"/>
  <c r="Z645" i="9"/>
  <c r="I658" i="9"/>
  <c r="T658" i="9"/>
  <c r="L648" i="9"/>
  <c r="W648" i="9"/>
  <c r="L656" i="9"/>
  <c r="W656" i="9"/>
  <c r="O643" i="9"/>
  <c r="Z643" i="9"/>
  <c r="M647" i="9"/>
  <c r="X647" i="9"/>
  <c r="O658" i="9"/>
  <c r="Z658" i="9"/>
  <c r="L645" i="9"/>
  <c r="W645" i="9"/>
  <c r="H655" i="9"/>
  <c r="S655" i="9"/>
  <c r="H645" i="9"/>
  <c r="S645" i="9"/>
  <c r="F654" i="9"/>
  <c r="Q654" i="9"/>
  <c r="K651" i="9"/>
  <c r="V651" i="9"/>
  <c r="F645" i="9"/>
  <c r="Q645" i="9"/>
  <c r="M644" i="9"/>
  <c r="X644" i="9"/>
  <c r="M658" i="9"/>
  <c r="X658" i="9"/>
  <c r="O651" i="9"/>
  <c r="Z651" i="9"/>
  <c r="I644" i="9"/>
  <c r="T644" i="9"/>
  <c r="M656" i="9"/>
  <c r="X656" i="9"/>
  <c r="M651" i="9"/>
  <c r="X651" i="9"/>
  <c r="I647" i="9"/>
  <c r="T647" i="9"/>
  <c r="H647" i="9"/>
  <c r="S647" i="9"/>
  <c r="J658" i="9"/>
  <c r="U658" i="9"/>
  <c r="F646" i="9"/>
  <c r="Q646" i="9"/>
  <c r="H657" i="9"/>
  <c r="S657" i="9"/>
  <c r="K643" i="9"/>
  <c r="V643" i="9"/>
  <c r="N644" i="9"/>
  <c r="Y644" i="9"/>
  <c r="N655" i="9"/>
  <c r="Y655" i="9"/>
  <c r="L658" i="9"/>
  <c r="W658" i="9"/>
  <c r="F655" i="9"/>
  <c r="Q655" i="9"/>
  <c r="L650" i="9"/>
  <c r="W650" i="9"/>
  <c r="G644" i="9"/>
  <c r="R644" i="9"/>
  <c r="K652" i="9"/>
  <c r="V652" i="9"/>
  <c r="G652" i="9"/>
  <c r="R652" i="9"/>
  <c r="H651" i="9"/>
  <c r="S651" i="9"/>
  <c r="M649" i="9"/>
  <c r="X649" i="9"/>
  <c r="J648" i="9"/>
  <c r="U648" i="9"/>
  <c r="N658" i="9"/>
  <c r="Y658" i="9"/>
  <c r="L654" i="9"/>
  <c r="W654" i="9"/>
  <c r="I654" i="9"/>
  <c r="T654" i="9"/>
  <c r="N647" i="9"/>
  <c r="Y647" i="9"/>
  <c r="F649" i="9"/>
  <c r="Q649" i="9"/>
  <c r="N651" i="9"/>
  <c r="Y651" i="9"/>
  <c r="I650" i="9"/>
  <c r="T650" i="9"/>
  <c r="G646" i="9"/>
  <c r="R646" i="9"/>
  <c r="M653" i="9"/>
  <c r="X653" i="9"/>
  <c r="O647" i="9"/>
  <c r="Z647" i="9"/>
  <c r="J653" i="9"/>
  <c r="U653" i="9"/>
  <c r="L653" i="9"/>
  <c r="W653" i="9"/>
  <c r="F653" i="9"/>
  <c r="Q653" i="9"/>
  <c r="O653" i="9"/>
  <c r="Z653" i="9"/>
  <c r="M655" i="9"/>
  <c r="X655" i="9"/>
  <c r="J652" i="9"/>
  <c r="U652" i="9"/>
  <c r="L644" i="9"/>
  <c r="W644" i="9"/>
  <c r="K644" i="9"/>
  <c r="V644" i="9"/>
  <c r="M654" i="9"/>
  <c r="X654" i="9"/>
  <c r="N653" i="9"/>
  <c r="Y653" i="9"/>
  <c r="K739" i="9"/>
  <c r="V739" i="9"/>
  <c r="L741" i="9"/>
  <c r="W741" i="9"/>
  <c r="M743" i="9"/>
  <c r="X743" i="9"/>
  <c r="O745" i="9"/>
  <c r="Z745" i="9"/>
  <c r="F748" i="9"/>
  <c r="Q748" i="9"/>
  <c r="G750" i="9"/>
  <c r="R750" i="9"/>
  <c r="I752" i="9"/>
  <c r="T752" i="9"/>
  <c r="J754" i="9"/>
  <c r="U754" i="9"/>
  <c r="G740" i="9"/>
  <c r="R740" i="9"/>
  <c r="I742" i="9"/>
  <c r="T742" i="9"/>
  <c r="J744" i="9"/>
  <c r="U744" i="9"/>
  <c r="K746" i="9"/>
  <c r="V746" i="9"/>
  <c r="M748" i="9"/>
  <c r="X748" i="9"/>
  <c r="N750" i="9"/>
  <c r="Y750" i="9"/>
  <c r="O752" i="9"/>
  <c r="Z752" i="9"/>
  <c r="M739" i="9"/>
  <c r="X739" i="9"/>
  <c r="F744" i="9"/>
  <c r="Q744" i="9"/>
  <c r="I748" i="9"/>
  <c r="T748" i="9"/>
  <c r="K752" i="9"/>
  <c r="V752" i="9"/>
  <c r="I740" i="9"/>
  <c r="T740" i="9"/>
  <c r="M746" i="9"/>
  <c r="X746" i="9"/>
  <c r="G753" i="9"/>
  <c r="R753" i="9"/>
  <c r="M745" i="9"/>
  <c r="X745" i="9"/>
  <c r="I754" i="9"/>
  <c r="T754" i="9"/>
  <c r="G743" i="9"/>
  <c r="R743" i="9"/>
  <c r="I747" i="9"/>
  <c r="T747" i="9"/>
  <c r="L751" i="9"/>
  <c r="W751" i="9"/>
  <c r="I741" i="9"/>
  <c r="T741" i="9"/>
  <c r="G754" i="9"/>
  <c r="R754" i="9"/>
  <c r="N746" i="9"/>
  <c r="Y746" i="9"/>
  <c r="N753" i="9"/>
  <c r="Y753" i="9"/>
  <c r="J747" i="9"/>
  <c r="U747" i="9"/>
  <c r="F741" i="9"/>
  <c r="Q741" i="9"/>
  <c r="H750" i="9"/>
  <c r="S750" i="9"/>
  <c r="N743" i="9"/>
  <c r="Y743" i="9"/>
  <c r="N749" i="9"/>
  <c r="Y749" i="9"/>
  <c r="J751" i="9"/>
  <c r="U751" i="9"/>
  <c r="J749" i="9"/>
  <c r="U749" i="9"/>
  <c r="L754" i="9"/>
  <c r="W754" i="9"/>
  <c r="J741" i="9"/>
  <c r="U741" i="9"/>
  <c r="K740" i="9"/>
  <c r="V740" i="9"/>
  <c r="H743" i="9"/>
  <c r="S743" i="9"/>
  <c r="J746" i="9"/>
  <c r="U746" i="9"/>
  <c r="G749" i="9"/>
  <c r="R749" i="9"/>
  <c r="M751" i="9"/>
  <c r="X751" i="9"/>
  <c r="O754" i="9"/>
  <c r="Z754" i="9"/>
  <c r="H741" i="9"/>
  <c r="S741" i="9"/>
  <c r="O743" i="9"/>
  <c r="Z743" i="9"/>
  <c r="G747" i="9"/>
  <c r="R747" i="9"/>
  <c r="M749" i="9"/>
  <c r="X749" i="9"/>
  <c r="J752" i="9"/>
  <c r="U752" i="9"/>
  <c r="N740" i="9"/>
  <c r="Y740" i="9"/>
  <c r="G746" i="9"/>
  <c r="R746" i="9"/>
  <c r="K751" i="9"/>
  <c r="V751" i="9"/>
  <c r="J742" i="9"/>
  <c r="U742" i="9"/>
  <c r="O749" i="9"/>
  <c r="Z749" i="9"/>
  <c r="L743" i="9"/>
  <c r="W743" i="9"/>
  <c r="O739" i="9"/>
  <c r="Z739" i="9"/>
  <c r="H745" i="9"/>
  <c r="S745" i="9"/>
  <c r="K750" i="9"/>
  <c r="V750" i="9"/>
  <c r="K744" i="9"/>
  <c r="V744" i="9"/>
  <c r="K742" i="9"/>
  <c r="V742" i="9"/>
  <c r="H753" i="9"/>
  <c r="S753" i="9"/>
  <c r="N745" i="9"/>
  <c r="Y745" i="9"/>
  <c r="J753" i="9"/>
  <c r="U753" i="9"/>
  <c r="J745" i="9"/>
  <c r="U745" i="9"/>
  <c r="L746" i="9"/>
  <c r="W746" i="9"/>
  <c r="N741" i="9"/>
  <c r="Y741" i="9"/>
  <c r="N739" i="9"/>
  <c r="Y739" i="9"/>
  <c r="F751" i="9"/>
  <c r="Q751" i="9"/>
  <c r="G741" i="9"/>
  <c r="R741" i="9"/>
  <c r="I744" i="9"/>
  <c r="T744" i="9"/>
  <c r="O746" i="9"/>
  <c r="Z746" i="9"/>
  <c r="L749" i="9"/>
  <c r="W749" i="9"/>
  <c r="N752" i="9"/>
  <c r="Y752" i="9"/>
  <c r="G739" i="9"/>
  <c r="R739" i="9"/>
  <c r="M741" i="9"/>
  <c r="X741" i="9"/>
  <c r="O744" i="9"/>
  <c r="Z744" i="9"/>
  <c r="L747" i="9"/>
  <c r="W747" i="9"/>
  <c r="I750" i="9"/>
  <c r="T750" i="9"/>
  <c r="K753" i="9"/>
  <c r="V753" i="9"/>
  <c r="O741" i="9"/>
  <c r="Z741" i="9"/>
  <c r="H747" i="9"/>
  <c r="S747" i="9"/>
  <c r="L753" i="9"/>
  <c r="W753" i="9"/>
  <c r="K743" i="9"/>
  <c r="V743" i="9"/>
  <c r="F752" i="9"/>
  <c r="Q752" i="9"/>
  <c r="O747" i="9"/>
  <c r="Z747" i="9"/>
  <c r="O740" i="9"/>
  <c r="Z740" i="9"/>
  <c r="I746" i="9"/>
  <c r="T746" i="9"/>
  <c r="M752" i="9"/>
  <c r="X752" i="9"/>
  <c r="M747" i="9"/>
  <c r="X747" i="9"/>
  <c r="M744" i="9"/>
  <c r="X744" i="9"/>
  <c r="H752" i="9"/>
  <c r="S752" i="9"/>
  <c r="H744" i="9"/>
  <c r="S744" i="9"/>
  <c r="N751" i="9"/>
  <c r="Y751" i="9"/>
  <c r="H742" i="9"/>
  <c r="S742" i="9"/>
  <c r="J743" i="9"/>
  <c r="U743" i="9"/>
  <c r="L752" i="9"/>
  <c r="W752" i="9"/>
  <c r="F745" i="9"/>
  <c r="Q745" i="9"/>
  <c r="N747" i="9"/>
  <c r="Y747" i="9"/>
  <c r="M742" i="9"/>
  <c r="X742" i="9"/>
  <c r="O753" i="9"/>
  <c r="Z753" i="9"/>
  <c r="G752" i="9"/>
  <c r="R752" i="9"/>
  <c r="I745" i="9"/>
  <c r="T745" i="9"/>
  <c r="M740" i="9"/>
  <c r="X740" i="9"/>
  <c r="O751" i="9"/>
  <c r="Z751" i="9"/>
  <c r="H739" i="9"/>
  <c r="S739" i="9"/>
  <c r="G744" i="9"/>
  <c r="R744" i="9"/>
  <c r="G751" i="9"/>
  <c r="R751" i="9"/>
  <c r="F753" i="9"/>
  <c r="Q753" i="9"/>
  <c r="G742" i="9"/>
  <c r="R742" i="9"/>
  <c r="K747" i="9"/>
  <c r="V747" i="9"/>
  <c r="I753" i="9"/>
  <c r="T753" i="9"/>
  <c r="N742" i="9"/>
  <c r="Y742" i="9"/>
  <c r="G748" i="9"/>
  <c r="R748" i="9"/>
  <c r="F754" i="9"/>
  <c r="Q754" i="9"/>
  <c r="I749" i="9"/>
  <c r="T749" i="9"/>
  <c r="L745" i="9"/>
  <c r="W745" i="9"/>
  <c r="F750" i="9"/>
  <c r="Q750" i="9"/>
  <c r="J748" i="9"/>
  <c r="U748" i="9"/>
  <c r="O750" i="9"/>
  <c r="Z750" i="9"/>
  <c r="L750" i="9"/>
  <c r="W750" i="9"/>
  <c r="L748" i="9"/>
  <c r="W748" i="9"/>
  <c r="H740" i="9"/>
  <c r="S740" i="9"/>
  <c r="L744" i="9"/>
  <c r="W744" i="9"/>
  <c r="K748" i="9"/>
  <c r="V748" i="9"/>
  <c r="I743" i="9"/>
  <c r="T743" i="9"/>
  <c r="H749" i="9"/>
  <c r="S749" i="9"/>
  <c r="K754" i="9"/>
  <c r="V754" i="9"/>
  <c r="J750" i="9"/>
  <c r="U750" i="9"/>
  <c r="N748" i="9"/>
  <c r="Y748" i="9"/>
  <c r="K749" i="9"/>
  <c r="V749" i="9"/>
  <c r="J740" i="9"/>
  <c r="U740" i="9"/>
  <c r="F749" i="9"/>
  <c r="Q749" i="9"/>
  <c r="F747" i="9"/>
  <c r="Q747" i="9"/>
  <c r="H748" i="9"/>
  <c r="S748" i="9"/>
  <c r="H754" i="9"/>
  <c r="S754" i="9"/>
  <c r="F739" i="9"/>
  <c r="Q739" i="9"/>
  <c r="N744" i="9"/>
  <c r="Y744" i="9"/>
  <c r="M750" i="9"/>
  <c r="X750" i="9"/>
  <c r="L739" i="9"/>
  <c r="W739" i="9"/>
  <c r="K745" i="9"/>
  <c r="V745" i="9"/>
  <c r="I751" i="9"/>
  <c r="T751" i="9"/>
  <c r="O742" i="9"/>
  <c r="Z742" i="9"/>
  <c r="M754" i="9"/>
  <c r="X754" i="9"/>
  <c r="I739" i="9"/>
  <c r="T739" i="9"/>
  <c r="F742" i="9"/>
  <c r="Q742" i="9"/>
  <c r="M753" i="9"/>
  <c r="X753" i="9"/>
  <c r="O748" i="9"/>
  <c r="Z748" i="9"/>
  <c r="L742" i="9"/>
  <c r="W742" i="9"/>
  <c r="L740" i="9"/>
  <c r="W740" i="9"/>
  <c r="H746" i="9"/>
  <c r="S746" i="9"/>
  <c r="F740" i="9"/>
  <c r="Q740" i="9"/>
  <c r="H751" i="9"/>
  <c r="S751" i="9"/>
  <c r="F746" i="9"/>
  <c r="Q746" i="9"/>
  <c r="G745" i="9"/>
  <c r="R745" i="9"/>
  <c r="K741" i="9"/>
  <c r="V741" i="9"/>
  <c r="N754" i="9"/>
  <c r="Y754" i="9"/>
  <c r="J739" i="9"/>
  <c r="U739" i="9"/>
  <c r="F743" i="9"/>
  <c r="Q743" i="9"/>
  <c r="I61" i="9"/>
  <c r="T61" i="9"/>
  <c r="G63" i="9"/>
  <c r="R63" i="9"/>
  <c r="M64" i="9"/>
  <c r="X64" i="9"/>
  <c r="O52" i="9"/>
  <c r="Z52" i="9"/>
  <c r="M65" i="9"/>
  <c r="X65" i="9"/>
  <c r="M60" i="9"/>
  <c r="X60" i="9"/>
  <c r="G59" i="9"/>
  <c r="R59" i="9"/>
  <c r="F59" i="9"/>
  <c r="Q59" i="9"/>
  <c r="F51" i="9"/>
  <c r="Q51" i="9"/>
  <c r="J60" i="9"/>
  <c r="U60" i="9"/>
  <c r="N52" i="9"/>
  <c r="Y52" i="9"/>
  <c r="I56" i="9"/>
  <c r="T56" i="9"/>
  <c r="M62" i="9"/>
  <c r="X62" i="9"/>
  <c r="K58" i="9"/>
  <c r="V58" i="9"/>
  <c r="L51" i="9"/>
  <c r="W51" i="9"/>
  <c r="K56" i="9"/>
  <c r="V56" i="9"/>
  <c r="O53" i="9"/>
  <c r="Z53" i="9"/>
  <c r="I60" i="9"/>
  <c r="T60" i="9"/>
  <c r="M66" i="9"/>
  <c r="X66" i="9"/>
  <c r="M55" i="9"/>
  <c r="X55" i="9"/>
  <c r="N51" i="9"/>
  <c r="Y51" i="9"/>
  <c r="N65" i="9"/>
  <c r="Y65" i="9"/>
  <c r="L52" i="9"/>
  <c r="W52" i="9"/>
  <c r="K64" i="9"/>
  <c r="V64" i="9"/>
  <c r="K52" i="9"/>
  <c r="V52" i="9"/>
  <c r="H56" i="9"/>
  <c r="S56" i="9"/>
  <c r="N54" i="9"/>
  <c r="Y54" i="9"/>
  <c r="F54" i="9"/>
  <c r="Q54" i="9"/>
  <c r="O54" i="9"/>
  <c r="Z54" i="9"/>
  <c r="L54" i="9"/>
  <c r="W54" i="9"/>
  <c r="M63" i="9"/>
  <c r="X63" i="9"/>
  <c r="L53" i="9"/>
  <c r="W53" i="9"/>
  <c r="H65" i="9"/>
  <c r="S65" i="9"/>
  <c r="K54" i="9"/>
  <c r="V54" i="9"/>
  <c r="L58" i="9"/>
  <c r="W58" i="9"/>
  <c r="N62" i="9"/>
  <c r="Y62" i="9"/>
  <c r="J64" i="9"/>
  <c r="U64" i="9"/>
  <c r="G66" i="9"/>
  <c r="R66" i="9"/>
  <c r="I58" i="9"/>
  <c r="T58" i="9"/>
  <c r="K57" i="9"/>
  <c r="V57" i="9"/>
  <c r="M52" i="9"/>
  <c r="X52" i="9"/>
  <c r="N56" i="9"/>
  <c r="Y56" i="9"/>
  <c r="K66" i="9"/>
  <c r="V66" i="9"/>
  <c r="F57" i="9"/>
  <c r="Q57" i="9"/>
  <c r="O57" i="9"/>
  <c r="Z57" i="9"/>
  <c r="O65" i="9"/>
  <c r="Z65" i="9"/>
  <c r="J65" i="9"/>
  <c r="U65" i="9"/>
  <c r="H51" i="9"/>
  <c r="S51" i="9"/>
  <c r="G57" i="9"/>
  <c r="R57" i="9"/>
  <c r="G65" i="9"/>
  <c r="R65" i="9"/>
  <c r="O56" i="9"/>
  <c r="Z56" i="9"/>
  <c r="I53" i="9"/>
  <c r="T53" i="9"/>
  <c r="F66" i="9"/>
  <c r="Q66" i="9"/>
  <c r="H61" i="9"/>
  <c r="S61" i="9"/>
  <c r="H59" i="9"/>
  <c r="S59" i="9"/>
  <c r="L62" i="9"/>
  <c r="W62" i="9"/>
  <c r="G64" i="9"/>
  <c r="R64" i="9"/>
  <c r="J62" i="9"/>
  <c r="U62" i="9"/>
  <c r="M61" i="9"/>
  <c r="X61" i="9"/>
  <c r="G54" i="9"/>
  <c r="R54" i="9"/>
  <c r="M53" i="9"/>
  <c r="X53" i="9"/>
  <c r="J52" i="9"/>
  <c r="U52" i="9"/>
  <c r="N53" i="9"/>
  <c r="Y53" i="9"/>
  <c r="O66" i="9"/>
  <c r="Z66" i="9"/>
  <c r="L63" i="9"/>
  <c r="W63" i="9"/>
  <c r="G58" i="9"/>
  <c r="R58" i="9"/>
  <c r="N64" i="9"/>
  <c r="Y64" i="9"/>
  <c r="K62" i="9"/>
  <c r="V62" i="9"/>
  <c r="K53" i="9"/>
  <c r="V53" i="9"/>
  <c r="K61" i="9"/>
  <c r="V61" i="9"/>
  <c r="O63" i="9"/>
  <c r="Z63" i="9"/>
  <c r="K65" i="9"/>
  <c r="V65" i="9"/>
  <c r="N55" i="9"/>
  <c r="Y55" i="9"/>
  <c r="G53" i="9"/>
  <c r="R53" i="9"/>
  <c r="I64" i="9"/>
  <c r="T64" i="9"/>
  <c r="I59" i="9"/>
  <c r="T59" i="9"/>
  <c r="I52" i="9"/>
  <c r="T52" i="9"/>
  <c r="K63" i="9"/>
  <c r="V63" i="9"/>
  <c r="F63" i="9"/>
  <c r="Q63" i="9"/>
  <c r="F62" i="9"/>
  <c r="Q62" i="9"/>
  <c r="G51" i="9"/>
  <c r="R51" i="9"/>
  <c r="L59" i="9"/>
  <c r="W59" i="9"/>
  <c r="G60" i="9"/>
  <c r="R60" i="9"/>
  <c r="L57" i="9"/>
  <c r="W57" i="9"/>
  <c r="J58" i="9"/>
  <c r="U58" i="9"/>
  <c r="J61" i="9"/>
  <c r="U61" i="9"/>
  <c r="N61" i="9"/>
  <c r="Y61" i="9"/>
  <c r="L61" i="9"/>
  <c r="W61" i="9"/>
  <c r="O62" i="9"/>
  <c r="Z62" i="9"/>
  <c r="I63" i="9"/>
  <c r="T63" i="9"/>
  <c r="J63" i="9"/>
  <c r="U63" i="9"/>
  <c r="O59" i="9"/>
  <c r="Z59" i="9"/>
  <c r="F60" i="9"/>
  <c r="Q60" i="9"/>
  <c r="I54" i="9"/>
  <c r="T54" i="9"/>
  <c r="F61" i="9"/>
  <c r="Q61" i="9"/>
  <c r="L66" i="9"/>
  <c r="W66" i="9"/>
  <c r="G61" i="9"/>
  <c r="R61" i="9"/>
  <c r="F55" i="9"/>
  <c r="Q55" i="9"/>
  <c r="M58" i="9"/>
  <c r="X58" i="9"/>
  <c r="I57" i="9"/>
  <c r="T57" i="9"/>
  <c r="J56" i="9"/>
  <c r="U56" i="9"/>
  <c r="J53" i="9"/>
  <c r="U53" i="9"/>
  <c r="I65" i="9"/>
  <c r="T65" i="9"/>
  <c r="I51" i="9"/>
  <c r="T51" i="9"/>
  <c r="H62" i="9"/>
  <c r="S62" i="9"/>
  <c r="F65" i="9"/>
  <c r="Q65" i="9"/>
  <c r="H66" i="9"/>
  <c r="S66" i="9"/>
  <c r="L64" i="9"/>
  <c r="W64" i="9"/>
  <c r="G55" i="9"/>
  <c r="R55" i="9"/>
  <c r="J55" i="9"/>
  <c r="U55" i="9"/>
  <c r="O55" i="9"/>
  <c r="Z55" i="9"/>
  <c r="K51" i="9"/>
  <c r="V51" i="9"/>
  <c r="K60" i="9"/>
  <c r="V60" i="9"/>
  <c r="K55" i="9"/>
  <c r="V55" i="9"/>
  <c r="G56" i="9"/>
  <c r="R56" i="9"/>
  <c r="H55" i="9"/>
  <c r="S55" i="9"/>
  <c r="J51" i="9"/>
  <c r="U51" i="9"/>
  <c r="H63" i="9"/>
  <c r="S63" i="9"/>
  <c r="F56" i="9"/>
  <c r="Q56" i="9"/>
  <c r="H64" i="9"/>
  <c r="S64" i="9"/>
  <c r="J66" i="9"/>
  <c r="U66" i="9"/>
  <c r="O51" i="9"/>
  <c r="Z51" i="9"/>
  <c r="H58" i="9"/>
  <c r="S58" i="9"/>
  <c r="L60" i="9"/>
  <c r="W60" i="9"/>
  <c r="K59" i="9"/>
  <c r="V59" i="9"/>
  <c r="M59" i="9"/>
  <c r="X59" i="9"/>
  <c r="H52" i="9"/>
  <c r="S52" i="9"/>
  <c r="F58" i="9"/>
  <c r="Q58" i="9"/>
  <c r="H60" i="9"/>
  <c r="S60" i="9"/>
  <c r="L65" i="9"/>
  <c r="W65" i="9"/>
  <c r="M56" i="9"/>
  <c r="X56" i="9"/>
  <c r="J59" i="9"/>
  <c r="U59" i="9"/>
  <c r="N60" i="9"/>
  <c r="Y60" i="9"/>
  <c r="M54" i="9"/>
  <c r="X54" i="9"/>
  <c r="F64" i="9"/>
  <c r="Q64" i="9"/>
  <c r="G52" i="9"/>
  <c r="R52" i="9"/>
  <c r="J54" i="9"/>
  <c r="U54" i="9"/>
  <c r="H57" i="9"/>
  <c r="S57" i="9"/>
  <c r="H53" i="9"/>
  <c r="S53" i="9"/>
  <c r="M51" i="9"/>
  <c r="X51" i="9"/>
  <c r="O60" i="9"/>
  <c r="Z60" i="9"/>
  <c r="N66" i="9"/>
  <c r="Y66" i="9"/>
  <c r="O58" i="9"/>
  <c r="Z58" i="9"/>
  <c r="N57" i="9"/>
  <c r="Y57" i="9"/>
  <c r="H54" i="9"/>
  <c r="S54" i="9"/>
  <c r="N58" i="9"/>
  <c r="Y58" i="9"/>
  <c r="I62" i="9"/>
  <c r="T62" i="9"/>
  <c r="L55" i="9"/>
  <c r="W55" i="9"/>
  <c r="N63" i="9"/>
  <c r="Y63" i="9"/>
  <c r="J57" i="9"/>
  <c r="U57" i="9"/>
  <c r="G62" i="9"/>
  <c r="R62" i="9"/>
  <c r="I66" i="9"/>
  <c r="T66" i="9"/>
  <c r="I55" i="9"/>
  <c r="T55" i="9"/>
  <c r="F52" i="9"/>
  <c r="Q52" i="9"/>
  <c r="M57" i="9"/>
  <c r="X57" i="9"/>
  <c r="N59" i="9"/>
  <c r="Y59" i="9"/>
  <c r="L56" i="9"/>
  <c r="W56" i="9"/>
  <c r="O64" i="9"/>
  <c r="Z64" i="9"/>
  <c r="F53" i="9"/>
  <c r="Q53" i="9"/>
  <c r="O61" i="9"/>
  <c r="Z61" i="9"/>
  <c r="P71" i="9"/>
  <c r="P79" i="9"/>
  <c r="P77" i="9"/>
  <c r="P76" i="9"/>
  <c r="P67" i="9"/>
  <c r="P73" i="9"/>
  <c r="P69" i="9"/>
  <c r="P75" i="9"/>
  <c r="P74" i="9"/>
  <c r="F503" i="9"/>
  <c r="Q503" i="9"/>
  <c r="J509" i="9"/>
  <c r="U509" i="9"/>
  <c r="H500" i="9"/>
  <c r="S500" i="9"/>
  <c r="L506" i="9"/>
  <c r="W506" i="9"/>
  <c r="F513" i="9"/>
  <c r="Q513" i="9"/>
  <c r="J505" i="9"/>
  <c r="U505" i="9"/>
  <c r="H510" i="9"/>
  <c r="S510" i="9"/>
  <c r="F509" i="9"/>
  <c r="Q509" i="9"/>
  <c r="J513" i="9"/>
  <c r="U513" i="9"/>
  <c r="N513" i="9"/>
  <c r="Y513" i="9"/>
  <c r="J510" i="9"/>
  <c r="U510" i="9"/>
  <c r="F504" i="9"/>
  <c r="Q504" i="9"/>
  <c r="M513" i="9"/>
  <c r="X513" i="9"/>
  <c r="I507" i="9"/>
  <c r="T507" i="9"/>
  <c r="O500" i="9"/>
  <c r="Z500" i="9"/>
  <c r="I510" i="9"/>
  <c r="T510" i="9"/>
  <c r="O503" i="9"/>
  <c r="Z503" i="9"/>
  <c r="N512" i="9"/>
  <c r="Y512" i="9"/>
  <c r="N504" i="9"/>
  <c r="Y504" i="9"/>
  <c r="M509" i="9"/>
  <c r="X509" i="9"/>
  <c r="M512" i="9"/>
  <c r="X512" i="9"/>
  <c r="O499" i="9"/>
  <c r="Z499" i="9"/>
  <c r="F510" i="9"/>
  <c r="Q510" i="9"/>
  <c r="L503" i="9"/>
  <c r="W503" i="9"/>
  <c r="I513" i="9"/>
  <c r="T513" i="9"/>
  <c r="O506" i="9"/>
  <c r="Z506" i="9"/>
  <c r="K500" i="9"/>
  <c r="V500" i="9"/>
  <c r="O509" i="9"/>
  <c r="Z509" i="9"/>
  <c r="K503" i="9"/>
  <c r="V503" i="9"/>
  <c r="H503" i="9"/>
  <c r="S503" i="9"/>
  <c r="O504" i="9"/>
  <c r="Z504" i="9"/>
  <c r="O507" i="9"/>
  <c r="Z507" i="9"/>
  <c r="F506" i="9"/>
  <c r="Q506" i="9"/>
  <c r="I512" i="9"/>
  <c r="T512" i="9"/>
  <c r="K512" i="9"/>
  <c r="V512" i="9"/>
  <c r="L507" i="9"/>
  <c r="W507" i="9"/>
  <c r="G501" i="9"/>
  <c r="R501" i="9"/>
  <c r="M507" i="9"/>
  <c r="X507" i="9"/>
  <c r="N502" i="9"/>
  <c r="Y502" i="9"/>
  <c r="K507" i="9"/>
  <c r="V507" i="9"/>
  <c r="L504" i="9"/>
  <c r="W504" i="9"/>
  <c r="L512" i="9"/>
  <c r="W512" i="9"/>
  <c r="F505" i="9"/>
  <c r="Q505" i="9"/>
  <c r="L514" i="9"/>
  <c r="W514" i="9"/>
  <c r="N511" i="9"/>
  <c r="Y511" i="9"/>
  <c r="N505" i="9"/>
  <c r="Y505" i="9"/>
  <c r="L510" i="9"/>
  <c r="W510" i="9"/>
  <c r="L513" i="9"/>
  <c r="W513" i="9"/>
  <c r="L505" i="9"/>
  <c r="W505" i="9"/>
  <c r="G512" i="9"/>
  <c r="R512" i="9"/>
  <c r="G504" i="9"/>
  <c r="R504" i="9"/>
  <c r="O511" i="9"/>
  <c r="Z511" i="9"/>
  <c r="I502" i="9"/>
  <c r="T502" i="9"/>
  <c r="L509" i="9"/>
  <c r="W509" i="9"/>
  <c r="O512" i="9"/>
  <c r="Z512" i="9"/>
  <c r="K509" i="9"/>
  <c r="V509" i="9"/>
  <c r="H513" i="9"/>
  <c r="S513" i="9"/>
  <c r="H505" i="9"/>
  <c r="S505" i="9"/>
  <c r="M511" i="9"/>
  <c r="X511" i="9"/>
  <c r="M503" i="9"/>
  <c r="X503" i="9"/>
  <c r="K511" i="9"/>
  <c r="V511" i="9"/>
  <c r="O501" i="9"/>
  <c r="Z501" i="9"/>
  <c r="I511" i="9"/>
  <c r="T511" i="9"/>
  <c r="G511" i="9"/>
  <c r="R511" i="9"/>
  <c r="L499" i="9"/>
  <c r="W499" i="9"/>
  <c r="K499" i="9"/>
  <c r="V499" i="9"/>
  <c r="F514" i="9"/>
  <c r="Q514" i="9"/>
  <c r="N510" i="9"/>
  <c r="Y510" i="9"/>
  <c r="M510" i="9"/>
  <c r="X510" i="9"/>
  <c r="H501" i="9"/>
  <c r="S501" i="9"/>
  <c r="G499" i="9"/>
  <c r="R499" i="9"/>
  <c r="H506" i="9"/>
  <c r="S506" i="9"/>
  <c r="H514" i="9"/>
  <c r="S514" i="9"/>
  <c r="H508" i="9"/>
  <c r="S508" i="9"/>
  <c r="F499" i="9"/>
  <c r="Q499" i="9"/>
  <c r="N503" i="9"/>
  <c r="Y503" i="9"/>
  <c r="H512" i="9"/>
  <c r="S512" i="9"/>
  <c r="J507" i="9"/>
  <c r="U507" i="9"/>
  <c r="F512" i="9"/>
  <c r="Q512" i="9"/>
  <c r="J502" i="9"/>
  <c r="U502" i="9"/>
  <c r="K510" i="9"/>
  <c r="V510" i="9"/>
  <c r="K502" i="9"/>
  <c r="V502" i="9"/>
  <c r="M508" i="9"/>
  <c r="X508" i="9"/>
  <c r="M500" i="9"/>
  <c r="X500" i="9"/>
  <c r="J506" i="9"/>
  <c r="U506" i="9"/>
  <c r="K506" i="9"/>
  <c r="V506" i="9"/>
  <c r="I506" i="9"/>
  <c r="T506" i="9"/>
  <c r="L511" i="9"/>
  <c r="W511" i="9"/>
  <c r="F502" i="9"/>
  <c r="Q502" i="9"/>
  <c r="G510" i="9"/>
  <c r="R510" i="9"/>
  <c r="G502" i="9"/>
  <c r="R502" i="9"/>
  <c r="I508" i="9"/>
  <c r="T508" i="9"/>
  <c r="I500" i="9"/>
  <c r="T500" i="9"/>
  <c r="G508" i="9"/>
  <c r="R508" i="9"/>
  <c r="M504" i="9"/>
  <c r="X504" i="9"/>
  <c r="I509" i="9"/>
  <c r="T509" i="9"/>
  <c r="H509" i="9"/>
  <c r="S509" i="9"/>
  <c r="O510" i="9"/>
  <c r="Z510" i="9"/>
  <c r="J504" i="9"/>
  <c r="U504" i="9"/>
  <c r="I504" i="9"/>
  <c r="T504" i="9"/>
  <c r="H502" i="9"/>
  <c r="S502" i="9"/>
  <c r="J501" i="9"/>
  <c r="U501" i="9"/>
  <c r="L508" i="9"/>
  <c r="W508" i="9"/>
  <c r="H507" i="9"/>
  <c r="S507" i="9"/>
  <c r="K505" i="9"/>
  <c r="V505" i="9"/>
  <c r="N514" i="9"/>
  <c r="Y514" i="9"/>
  <c r="G513" i="9"/>
  <c r="R513" i="9"/>
  <c r="J512" i="9"/>
  <c r="U512" i="9"/>
  <c r="I501" i="9"/>
  <c r="T501" i="9"/>
  <c r="N507" i="9"/>
  <c r="Y507" i="9"/>
  <c r="N509" i="9"/>
  <c r="Y509" i="9"/>
  <c r="J499" i="9"/>
  <c r="U499" i="9"/>
  <c r="F501" i="9"/>
  <c r="Q501" i="9"/>
  <c r="N500" i="9"/>
  <c r="Y500" i="9"/>
  <c r="I499" i="9"/>
  <c r="T499" i="9"/>
  <c r="J514" i="9"/>
  <c r="U514" i="9"/>
  <c r="I503" i="9"/>
  <c r="T503" i="9"/>
  <c r="J508" i="9"/>
  <c r="U508" i="9"/>
  <c r="K508" i="9"/>
  <c r="V508" i="9"/>
  <c r="M506" i="9"/>
  <c r="X506" i="9"/>
  <c r="M501" i="9"/>
  <c r="X501" i="9"/>
  <c r="O502" i="9"/>
  <c r="Z502" i="9"/>
  <c r="K504" i="9"/>
  <c r="V504" i="9"/>
  <c r="G506" i="9"/>
  <c r="R506" i="9"/>
  <c r="F511" i="9"/>
  <c r="Q511" i="9"/>
  <c r="J511" i="9"/>
  <c r="U511" i="9"/>
  <c r="L502" i="9"/>
  <c r="W502" i="9"/>
  <c r="H504" i="9"/>
  <c r="S504" i="9"/>
  <c r="H499" i="9"/>
  <c r="S499" i="9"/>
  <c r="K513" i="9"/>
  <c r="V513" i="9"/>
  <c r="H511" i="9"/>
  <c r="S511" i="9"/>
  <c r="G500" i="9"/>
  <c r="R500" i="9"/>
  <c r="N506" i="9"/>
  <c r="Y506" i="9"/>
  <c r="I505" i="9"/>
  <c r="T505" i="9"/>
  <c r="G505" i="9"/>
  <c r="R505" i="9"/>
  <c r="I514" i="9"/>
  <c r="T514" i="9"/>
  <c r="O505" i="9"/>
  <c r="Z505" i="9"/>
  <c r="O513" i="9"/>
  <c r="Z513" i="9"/>
  <c r="G509" i="9"/>
  <c r="R509" i="9"/>
  <c r="N499" i="9"/>
  <c r="Y499" i="9"/>
  <c r="N501" i="9"/>
  <c r="Y501" i="9"/>
  <c r="L500" i="9"/>
  <c r="W500" i="9"/>
  <c r="N508" i="9"/>
  <c r="Y508" i="9"/>
  <c r="O508" i="9"/>
  <c r="Z508" i="9"/>
  <c r="G507" i="9"/>
  <c r="R507" i="9"/>
  <c r="L501" i="9"/>
  <c r="W501" i="9"/>
  <c r="G503" i="9"/>
  <c r="R503" i="9"/>
  <c r="J500" i="9"/>
  <c r="U500" i="9"/>
  <c r="M514" i="9"/>
  <c r="X514" i="9"/>
  <c r="F508" i="9"/>
  <c r="Q508" i="9"/>
  <c r="K501" i="9"/>
  <c r="V501" i="9"/>
  <c r="M499" i="9"/>
  <c r="X499" i="9"/>
  <c r="G514" i="9"/>
  <c r="R514" i="9"/>
  <c r="J503" i="9"/>
  <c r="U503" i="9"/>
  <c r="F507" i="9"/>
  <c r="Q507" i="9"/>
  <c r="M505" i="9"/>
  <c r="X505" i="9"/>
  <c r="F500" i="9"/>
  <c r="Q500" i="9"/>
  <c r="O514" i="9"/>
  <c r="Z514" i="9"/>
  <c r="K514" i="9"/>
  <c r="V514" i="9"/>
  <c r="M502" i="9"/>
  <c r="X502" i="9"/>
  <c r="P114" i="9"/>
  <c r="H835" i="9"/>
  <c r="S835" i="9"/>
  <c r="I837" i="9"/>
  <c r="T837" i="9"/>
  <c r="K839" i="9"/>
  <c r="V839" i="9"/>
  <c r="L841" i="9"/>
  <c r="W841" i="9"/>
  <c r="M843" i="9"/>
  <c r="X843" i="9"/>
  <c r="O845" i="9"/>
  <c r="Z845" i="9"/>
  <c r="F848" i="9"/>
  <c r="Q848" i="9"/>
  <c r="G850" i="9"/>
  <c r="R850" i="9"/>
  <c r="J836" i="9"/>
  <c r="U836" i="9"/>
  <c r="K838" i="9"/>
  <c r="V838" i="9"/>
  <c r="M840" i="9"/>
  <c r="X840" i="9"/>
  <c r="N842" i="9"/>
  <c r="Y842" i="9"/>
  <c r="O844" i="9"/>
  <c r="Z844" i="9"/>
  <c r="G847" i="9"/>
  <c r="R847" i="9"/>
  <c r="H849" i="9"/>
  <c r="S849" i="9"/>
  <c r="L835" i="9"/>
  <c r="W835" i="9"/>
  <c r="O839" i="9"/>
  <c r="Z839" i="9"/>
  <c r="G844" i="9"/>
  <c r="R844" i="9"/>
  <c r="J848" i="9"/>
  <c r="U848" i="9"/>
  <c r="G837" i="9"/>
  <c r="R837" i="9"/>
  <c r="I841" i="9"/>
  <c r="T841" i="9"/>
  <c r="L845" i="9"/>
  <c r="W845" i="9"/>
  <c r="O849" i="9"/>
  <c r="Z849" i="9"/>
  <c r="I839" i="9"/>
  <c r="T839" i="9"/>
  <c r="O847" i="9"/>
  <c r="Z847" i="9"/>
  <c r="N846" i="9"/>
  <c r="Y846" i="9"/>
  <c r="K835" i="9"/>
  <c r="V835" i="9"/>
  <c r="F844" i="9"/>
  <c r="Q844" i="9"/>
  <c r="G836" i="9"/>
  <c r="R836" i="9"/>
  <c r="K836" i="9"/>
  <c r="V836" i="9"/>
  <c r="L850" i="9"/>
  <c r="W850" i="9"/>
  <c r="H844" i="9"/>
  <c r="S844" i="9"/>
  <c r="N837" i="9"/>
  <c r="Y837" i="9"/>
  <c r="F847" i="9"/>
  <c r="Q847" i="9"/>
  <c r="L840" i="9"/>
  <c r="W840" i="9"/>
  <c r="H848" i="9"/>
  <c r="S848" i="9"/>
  <c r="J835" i="9"/>
  <c r="U835" i="9"/>
  <c r="L844" i="9"/>
  <c r="W844" i="9"/>
  <c r="J843" i="9"/>
  <c r="U843" i="9"/>
  <c r="J849" i="9"/>
  <c r="U849" i="9"/>
  <c r="N836" i="9"/>
  <c r="Y836" i="9"/>
  <c r="F840" i="9"/>
  <c r="Q840" i="9"/>
  <c r="M842" i="9"/>
  <c r="X842" i="9"/>
  <c r="I845" i="9"/>
  <c r="T845" i="9"/>
  <c r="K848" i="9"/>
  <c r="V848" i="9"/>
  <c r="I835" i="9"/>
  <c r="T835" i="9"/>
  <c r="F838" i="9"/>
  <c r="Q838" i="9"/>
  <c r="H841" i="9"/>
  <c r="S841" i="9"/>
  <c r="O843" i="9"/>
  <c r="Z843" i="9"/>
  <c r="K846" i="9"/>
  <c r="V846" i="9"/>
  <c r="M849" i="9"/>
  <c r="X849" i="9"/>
  <c r="M837" i="9"/>
  <c r="X837" i="9"/>
  <c r="G843" i="9"/>
  <c r="R843" i="9"/>
  <c r="K849" i="9"/>
  <c r="V849" i="9"/>
  <c r="H839" i="9"/>
  <c r="S839" i="9"/>
  <c r="K844" i="9"/>
  <c r="V844" i="9"/>
  <c r="O850" i="9"/>
  <c r="Z850" i="9"/>
  <c r="L843" i="9"/>
  <c r="W843" i="9"/>
  <c r="K842" i="9"/>
  <c r="V842" i="9"/>
  <c r="L837" i="9"/>
  <c r="W837" i="9"/>
  <c r="I848" i="9"/>
  <c r="T848" i="9"/>
  <c r="O848" i="9"/>
  <c r="Z848" i="9"/>
  <c r="F849" i="9"/>
  <c r="Q849" i="9"/>
  <c r="F841" i="9"/>
  <c r="Q841" i="9"/>
  <c r="L848" i="9"/>
  <c r="W848" i="9"/>
  <c r="F839" i="9"/>
  <c r="Q839" i="9"/>
  <c r="N841" i="9"/>
  <c r="Y841" i="9"/>
  <c r="N847" i="9"/>
  <c r="Y847" i="9"/>
  <c r="F837" i="9"/>
  <c r="Q837" i="9"/>
  <c r="H846" i="9"/>
  <c r="S846" i="9"/>
  <c r="M835" i="9"/>
  <c r="X835" i="9"/>
  <c r="O838" i="9"/>
  <c r="Z838" i="9"/>
  <c r="O846" i="9"/>
  <c r="Z846" i="9"/>
  <c r="M850" i="9"/>
  <c r="X850" i="9"/>
  <c r="I842" i="9"/>
  <c r="T842" i="9"/>
  <c r="I850" i="9"/>
  <c r="T850" i="9"/>
  <c r="I847" i="9"/>
  <c r="T847" i="9"/>
  <c r="M847" i="9"/>
  <c r="X847" i="9"/>
  <c r="M838" i="9"/>
  <c r="X838" i="9"/>
  <c r="M844" i="9"/>
  <c r="X844" i="9"/>
  <c r="H836" i="9"/>
  <c r="S836" i="9"/>
  <c r="L838" i="9"/>
  <c r="W838" i="9"/>
  <c r="L836" i="9"/>
  <c r="W836" i="9"/>
  <c r="O837" i="9"/>
  <c r="Z837" i="9"/>
  <c r="G841" i="9"/>
  <c r="R841" i="9"/>
  <c r="N844" i="9"/>
  <c r="Y844" i="9"/>
  <c r="G849" i="9"/>
  <c r="R849" i="9"/>
  <c r="O836" i="9"/>
  <c r="Z836" i="9"/>
  <c r="G840" i="9"/>
  <c r="R840" i="9"/>
  <c r="J844" i="9"/>
  <c r="U844" i="9"/>
  <c r="G848" i="9"/>
  <c r="R848" i="9"/>
  <c r="M836" i="9"/>
  <c r="X836" i="9"/>
  <c r="H845" i="9"/>
  <c r="S845" i="9"/>
  <c r="F836" i="9"/>
  <c r="Q836" i="9"/>
  <c r="K843" i="9"/>
  <c r="V843" i="9"/>
  <c r="G835" i="9"/>
  <c r="R835" i="9"/>
  <c r="F850" i="9"/>
  <c r="Q850" i="9"/>
  <c r="H847" i="9"/>
  <c r="S847" i="9"/>
  <c r="J850" i="9"/>
  <c r="U850" i="9"/>
  <c r="G845" i="9"/>
  <c r="R845" i="9"/>
  <c r="L842" i="9"/>
  <c r="W842" i="9"/>
  <c r="J845" i="9"/>
  <c r="U845" i="9"/>
  <c r="N835" i="9"/>
  <c r="Y835" i="9"/>
  <c r="H840" i="9"/>
  <c r="S840" i="9"/>
  <c r="F843" i="9"/>
  <c r="Q843" i="9"/>
  <c r="F835" i="9"/>
  <c r="Q835" i="9"/>
  <c r="J838" i="9"/>
  <c r="U838" i="9"/>
  <c r="G842" i="9"/>
  <c r="R842" i="9"/>
  <c r="J846" i="9"/>
  <c r="U846" i="9"/>
  <c r="L849" i="9"/>
  <c r="W849" i="9"/>
  <c r="K837" i="9"/>
  <c r="V837" i="9"/>
  <c r="M841" i="9"/>
  <c r="X841" i="9"/>
  <c r="K845" i="9"/>
  <c r="V845" i="9"/>
  <c r="M848" i="9"/>
  <c r="X848" i="9"/>
  <c r="N838" i="9"/>
  <c r="Y838" i="9"/>
  <c r="I846" i="9"/>
  <c r="T846" i="9"/>
  <c r="G838" i="9"/>
  <c r="R838" i="9"/>
  <c r="M846" i="9"/>
  <c r="X846" i="9"/>
  <c r="H837" i="9"/>
  <c r="S837" i="9"/>
  <c r="I838" i="9"/>
  <c r="T838" i="9"/>
  <c r="M839" i="9"/>
  <c r="X839" i="9"/>
  <c r="J840" i="9"/>
  <c r="U840" i="9"/>
  <c r="I849" i="9"/>
  <c r="T849" i="9"/>
  <c r="J839" i="9"/>
  <c r="U839" i="9"/>
  <c r="N843" i="9"/>
  <c r="Y843" i="9"/>
  <c r="F845" i="9"/>
  <c r="Q845" i="9"/>
  <c r="J841" i="9"/>
  <c r="U841" i="9"/>
  <c r="N839" i="9"/>
  <c r="Y839" i="9"/>
  <c r="H843" i="9"/>
  <c r="S843" i="9"/>
  <c r="G839" i="9"/>
  <c r="R839" i="9"/>
  <c r="F846" i="9"/>
  <c r="Q846" i="9"/>
  <c r="O840" i="9"/>
  <c r="Z840" i="9"/>
  <c r="I840" i="9"/>
  <c r="T840" i="9"/>
  <c r="K841" i="9"/>
  <c r="V841" i="9"/>
  <c r="O841" i="9"/>
  <c r="Z841" i="9"/>
  <c r="J847" i="9"/>
  <c r="U847" i="9"/>
  <c r="H842" i="9"/>
  <c r="S842" i="9"/>
  <c r="H838" i="9"/>
  <c r="S838" i="9"/>
  <c r="I836" i="9"/>
  <c r="T836" i="9"/>
  <c r="O835" i="9"/>
  <c r="Z835" i="9"/>
  <c r="N850" i="9"/>
  <c r="Y850" i="9"/>
  <c r="N848" i="9"/>
  <c r="Y848" i="9"/>
  <c r="N840" i="9"/>
  <c r="Y840" i="9"/>
  <c r="L846" i="9"/>
  <c r="W846" i="9"/>
  <c r="I843" i="9"/>
  <c r="T843" i="9"/>
  <c r="O842" i="9"/>
  <c r="Z842" i="9"/>
  <c r="K847" i="9"/>
  <c r="V847" i="9"/>
  <c r="L847" i="9"/>
  <c r="W847" i="9"/>
  <c r="J842" i="9"/>
  <c r="U842" i="9"/>
  <c r="G846" i="9"/>
  <c r="R846" i="9"/>
  <c r="J837" i="9"/>
  <c r="U837" i="9"/>
  <c r="K840" i="9"/>
  <c r="V840" i="9"/>
  <c r="L839" i="9"/>
  <c r="W839" i="9"/>
  <c r="F842" i="9"/>
  <c r="Q842" i="9"/>
  <c r="M845" i="9"/>
  <c r="X845" i="9"/>
  <c r="N845" i="9"/>
  <c r="Y845" i="9"/>
  <c r="N849" i="9"/>
  <c r="Y849" i="9"/>
  <c r="I844" i="9"/>
  <c r="T844" i="9"/>
  <c r="K850" i="9"/>
  <c r="V850" i="9"/>
  <c r="H850" i="9"/>
  <c r="S850" i="9"/>
  <c r="J852" i="9"/>
  <c r="U852" i="9"/>
  <c r="K854" i="9"/>
  <c r="V854" i="9"/>
  <c r="L856" i="9"/>
  <c r="W856" i="9"/>
  <c r="N858" i="9"/>
  <c r="Y858" i="9"/>
  <c r="O860" i="9"/>
  <c r="Z860" i="9"/>
  <c r="F863" i="9"/>
  <c r="Q863" i="9"/>
  <c r="H865" i="9"/>
  <c r="S865" i="9"/>
  <c r="J851" i="9"/>
  <c r="U851" i="9"/>
  <c r="L853" i="9"/>
  <c r="W853" i="9"/>
  <c r="M855" i="9"/>
  <c r="X855" i="9"/>
  <c r="N857" i="9"/>
  <c r="Y857" i="9"/>
  <c r="F860" i="9"/>
  <c r="Q860" i="9"/>
  <c r="G862" i="9"/>
  <c r="R862" i="9"/>
  <c r="H864" i="9"/>
  <c r="S864" i="9"/>
  <c r="J866" i="9"/>
  <c r="U866" i="9"/>
  <c r="N853" i="9"/>
  <c r="Y853" i="9"/>
  <c r="G858" i="9"/>
  <c r="R858" i="9"/>
  <c r="J862" i="9"/>
  <c r="U862" i="9"/>
  <c r="L866" i="9"/>
  <c r="W866" i="9"/>
  <c r="H854" i="9"/>
  <c r="S854" i="9"/>
  <c r="K858" i="9"/>
  <c r="V858" i="9"/>
  <c r="N862" i="9"/>
  <c r="Y862" i="9"/>
  <c r="H852" i="9"/>
  <c r="S852" i="9"/>
  <c r="N860" i="9"/>
  <c r="Y860" i="9"/>
  <c r="L857" i="9"/>
  <c r="W857" i="9"/>
  <c r="M853" i="9"/>
  <c r="X853" i="9"/>
  <c r="J864" i="9"/>
  <c r="U864" i="9"/>
  <c r="F859" i="9"/>
  <c r="Q859" i="9"/>
  <c r="H851" i="9"/>
  <c r="S851" i="9"/>
  <c r="F858" i="9"/>
  <c r="Q858" i="9"/>
  <c r="M862" i="9"/>
  <c r="X862" i="9"/>
  <c r="I856" i="9"/>
  <c r="T856" i="9"/>
  <c r="K865" i="9"/>
  <c r="V865" i="9"/>
  <c r="G859" i="9"/>
  <c r="R859" i="9"/>
  <c r="M852" i="9"/>
  <c r="X852" i="9"/>
  <c r="G857" i="9"/>
  <c r="R857" i="9"/>
  <c r="I852" i="9"/>
  <c r="T852" i="9"/>
  <c r="M856" i="9"/>
  <c r="X856" i="9"/>
  <c r="G855" i="9"/>
  <c r="R855" i="9"/>
  <c r="I858" i="9"/>
  <c r="T858" i="9"/>
  <c r="O852" i="9"/>
  <c r="Z852" i="9"/>
  <c r="L855" i="9"/>
  <c r="W855" i="9"/>
  <c r="H858" i="9"/>
  <c r="S858" i="9"/>
  <c r="J861" i="9"/>
  <c r="U861" i="9"/>
  <c r="G864" i="9"/>
  <c r="R864" i="9"/>
  <c r="N866" i="9"/>
  <c r="Y866" i="9"/>
  <c r="G854" i="9"/>
  <c r="R854" i="9"/>
  <c r="N856" i="9"/>
  <c r="Y856" i="9"/>
  <c r="J859" i="9"/>
  <c r="U859" i="9"/>
  <c r="L862" i="9"/>
  <c r="W862" i="9"/>
  <c r="I865" i="9"/>
  <c r="T865" i="9"/>
  <c r="N852" i="9"/>
  <c r="Y852" i="9"/>
  <c r="H859" i="9"/>
  <c r="S859" i="9"/>
  <c r="K864" i="9"/>
  <c r="V864" i="9"/>
  <c r="H853" i="9"/>
  <c r="S853" i="9"/>
  <c r="L859" i="9"/>
  <c r="W859" i="9"/>
  <c r="O864" i="9"/>
  <c r="Z864" i="9"/>
  <c r="L858" i="9"/>
  <c r="W858" i="9"/>
  <c r="N861" i="9"/>
  <c r="Y861" i="9"/>
  <c r="G860" i="9"/>
  <c r="R860" i="9"/>
  <c r="O856" i="9"/>
  <c r="Z856" i="9"/>
  <c r="J855" i="9"/>
  <c r="U855" i="9"/>
  <c r="O865" i="9"/>
  <c r="Z865" i="9"/>
  <c r="O857" i="9"/>
  <c r="Z857" i="9"/>
  <c r="O863" i="9"/>
  <c r="Z863" i="9"/>
  <c r="O855" i="9"/>
  <c r="Z855" i="9"/>
  <c r="I860" i="9"/>
  <c r="T860" i="9"/>
  <c r="I866" i="9"/>
  <c r="T866" i="9"/>
  <c r="O861" i="9"/>
  <c r="Z861" i="9"/>
  <c r="K861" i="9"/>
  <c r="V861" i="9"/>
  <c r="G851" i="9"/>
  <c r="R851" i="9"/>
  <c r="J853" i="9"/>
  <c r="U853" i="9"/>
  <c r="G856" i="9"/>
  <c r="R856" i="9"/>
  <c r="I859" i="9"/>
  <c r="T859" i="9"/>
  <c r="F862" i="9"/>
  <c r="Q862" i="9"/>
  <c r="L864" i="9"/>
  <c r="W864" i="9"/>
  <c r="F852" i="9"/>
  <c r="Q852" i="9"/>
  <c r="L854" i="9"/>
  <c r="W854" i="9"/>
  <c r="I857" i="9"/>
  <c r="T857" i="9"/>
  <c r="K860" i="9"/>
  <c r="V860" i="9"/>
  <c r="H863" i="9"/>
  <c r="S863" i="9"/>
  <c r="N865" i="9"/>
  <c r="Y865" i="9"/>
  <c r="O854" i="9"/>
  <c r="Z854" i="9"/>
  <c r="H860" i="9"/>
  <c r="S860" i="9"/>
  <c r="L865" i="9"/>
  <c r="W865" i="9"/>
  <c r="I855" i="9"/>
  <c r="T855" i="9"/>
  <c r="L860" i="9"/>
  <c r="W860" i="9"/>
  <c r="F866" i="9"/>
  <c r="Q866" i="9"/>
  <c r="O862" i="9"/>
  <c r="Z862" i="9"/>
  <c r="G866" i="9"/>
  <c r="R866" i="9"/>
  <c r="H862" i="9"/>
  <c r="S862" i="9"/>
  <c r="H861" i="9"/>
  <c r="S861" i="9"/>
  <c r="M859" i="9"/>
  <c r="X859" i="9"/>
  <c r="I864" i="9"/>
  <c r="T864" i="9"/>
  <c r="M854" i="9"/>
  <c r="X854" i="9"/>
  <c r="I862" i="9"/>
  <c r="T862" i="9"/>
  <c r="I854" i="9"/>
  <c r="T854" i="9"/>
  <c r="O853" i="9"/>
  <c r="Z853" i="9"/>
  <c r="G863" i="9"/>
  <c r="R863" i="9"/>
  <c r="K855" i="9"/>
  <c r="V855" i="9"/>
  <c r="N851" i="9"/>
  <c r="Y851" i="9"/>
  <c r="L863" i="9"/>
  <c r="W863" i="9"/>
  <c r="O858" i="9"/>
  <c r="Z858" i="9"/>
  <c r="G852" i="9"/>
  <c r="R852" i="9"/>
  <c r="I853" i="9"/>
  <c r="T853" i="9"/>
  <c r="K851" i="9"/>
  <c r="V851" i="9"/>
  <c r="K853" i="9"/>
  <c r="V853" i="9"/>
  <c r="F854" i="9"/>
  <c r="Q854" i="9"/>
  <c r="N859" i="9"/>
  <c r="Y859" i="9"/>
  <c r="M865" i="9"/>
  <c r="X865" i="9"/>
  <c r="H855" i="9"/>
  <c r="S855" i="9"/>
  <c r="F861" i="9"/>
  <c r="Q861" i="9"/>
  <c r="O866" i="9"/>
  <c r="Z866" i="9"/>
  <c r="I861" i="9"/>
  <c r="T861" i="9"/>
  <c r="J856" i="9"/>
  <c r="U856" i="9"/>
  <c r="J854" i="9"/>
  <c r="U854" i="9"/>
  <c r="L851" i="9"/>
  <c r="W851" i="9"/>
  <c r="I863" i="9"/>
  <c r="T863" i="9"/>
  <c r="G861" i="9"/>
  <c r="R861" i="9"/>
  <c r="M860" i="9"/>
  <c r="X860" i="9"/>
  <c r="G865" i="9"/>
  <c r="R865" i="9"/>
  <c r="M864" i="9"/>
  <c r="X864" i="9"/>
  <c r="F855" i="9"/>
  <c r="Q855" i="9"/>
  <c r="J860" i="9"/>
  <c r="U860" i="9"/>
  <c r="H866" i="9"/>
  <c r="S866" i="9"/>
  <c r="H856" i="9"/>
  <c r="S856" i="9"/>
  <c r="L861" i="9"/>
  <c r="W861" i="9"/>
  <c r="M851" i="9"/>
  <c r="X851" i="9"/>
  <c r="J863" i="9"/>
  <c r="U863" i="9"/>
  <c r="J857" i="9"/>
  <c r="U857" i="9"/>
  <c r="K856" i="9"/>
  <c r="V856" i="9"/>
  <c r="N855" i="9"/>
  <c r="Y855" i="9"/>
  <c r="J865" i="9"/>
  <c r="U865" i="9"/>
  <c r="K859" i="9"/>
  <c r="V859" i="9"/>
  <c r="K857" i="9"/>
  <c r="V857" i="9"/>
  <c r="M858" i="9"/>
  <c r="X858" i="9"/>
  <c r="O851" i="9"/>
  <c r="Z851" i="9"/>
  <c r="I851" i="9"/>
  <c r="T851" i="9"/>
  <c r="H857" i="9"/>
  <c r="S857" i="9"/>
  <c r="K862" i="9"/>
  <c r="V862" i="9"/>
  <c r="K852" i="9"/>
  <c r="V852" i="9"/>
  <c r="J858" i="9"/>
  <c r="U858" i="9"/>
  <c r="M863" i="9"/>
  <c r="X863" i="9"/>
  <c r="F856" i="9"/>
  <c r="Q856" i="9"/>
  <c r="F851" i="9"/>
  <c r="Q851" i="9"/>
  <c r="M861" i="9"/>
  <c r="X861" i="9"/>
  <c r="F865" i="9"/>
  <c r="Q865" i="9"/>
  <c r="L852" i="9"/>
  <c r="W852" i="9"/>
  <c r="F864" i="9"/>
  <c r="Q864" i="9"/>
  <c r="G853" i="9"/>
  <c r="R853" i="9"/>
  <c r="M866" i="9"/>
  <c r="X866" i="9"/>
  <c r="O859" i="9"/>
  <c r="Z859" i="9"/>
  <c r="M857" i="9"/>
  <c r="X857" i="9"/>
  <c r="F853" i="9"/>
  <c r="Q853" i="9"/>
  <c r="N864" i="9"/>
  <c r="Y864" i="9"/>
  <c r="F857" i="9"/>
  <c r="Q857" i="9"/>
  <c r="N863" i="9"/>
  <c r="Y863" i="9"/>
  <c r="N854" i="9"/>
  <c r="Y854" i="9"/>
  <c r="K866" i="9"/>
  <c r="V866" i="9"/>
  <c r="K863" i="9"/>
  <c r="V863" i="9"/>
  <c r="H248" i="9"/>
  <c r="S248" i="9"/>
  <c r="L254" i="9"/>
  <c r="W254" i="9"/>
  <c r="F247" i="9"/>
  <c r="Q247" i="9"/>
  <c r="J253" i="9"/>
  <c r="U253" i="9"/>
  <c r="H246" i="9"/>
  <c r="S246" i="9"/>
  <c r="N245" i="9"/>
  <c r="Y245" i="9"/>
  <c r="L258" i="9"/>
  <c r="W258" i="9"/>
  <c r="F257" i="9"/>
  <c r="Q257" i="9"/>
  <c r="J257" i="9"/>
  <c r="U257" i="9"/>
  <c r="F254" i="9"/>
  <c r="Q254" i="9"/>
  <c r="L247" i="9"/>
  <c r="W247" i="9"/>
  <c r="F243" i="9"/>
  <c r="Q243" i="9"/>
  <c r="O252" i="9"/>
  <c r="Z252" i="9"/>
  <c r="K246" i="9"/>
  <c r="V246" i="9"/>
  <c r="O255" i="9"/>
  <c r="Z255" i="9"/>
  <c r="K249" i="9"/>
  <c r="V249" i="9"/>
  <c r="F258" i="9"/>
  <c r="Q258" i="9"/>
  <c r="F250" i="9"/>
  <c r="Q250" i="9"/>
  <c r="L253" i="9"/>
  <c r="W253" i="9"/>
  <c r="H247" i="9"/>
  <c r="S247" i="9"/>
  <c r="O258" i="9"/>
  <c r="Z258" i="9"/>
  <c r="K252" i="9"/>
  <c r="V252" i="9"/>
  <c r="G246" i="9"/>
  <c r="R246" i="9"/>
  <c r="K255" i="9"/>
  <c r="V255" i="9"/>
  <c r="G249" i="9"/>
  <c r="R249" i="9"/>
  <c r="L257" i="9"/>
  <c r="W257" i="9"/>
  <c r="J243" i="9"/>
  <c r="U243" i="9"/>
  <c r="O246" i="9"/>
  <c r="Z246" i="9"/>
  <c r="O249" i="9"/>
  <c r="Z249" i="9"/>
  <c r="J246" i="9"/>
  <c r="U246" i="9"/>
  <c r="K251" i="9"/>
  <c r="V251" i="9"/>
  <c r="G244" i="9"/>
  <c r="R244" i="9"/>
  <c r="H251" i="9"/>
  <c r="S251" i="9"/>
  <c r="I255" i="9"/>
  <c r="T255" i="9"/>
  <c r="I258" i="9"/>
  <c r="T258" i="9"/>
  <c r="K245" i="9"/>
  <c r="V245" i="9"/>
  <c r="N249" i="9"/>
  <c r="Y249" i="9"/>
  <c r="N257" i="9"/>
  <c r="Y257" i="9"/>
  <c r="N251" i="9"/>
  <c r="Y251" i="9"/>
  <c r="J249" i="9"/>
  <c r="U249" i="9"/>
  <c r="H252" i="9"/>
  <c r="S252" i="9"/>
  <c r="N253" i="9"/>
  <c r="Y253" i="9"/>
  <c r="N258" i="9"/>
  <c r="Y258" i="9"/>
  <c r="N250" i="9"/>
  <c r="Y250" i="9"/>
  <c r="L244" i="9"/>
  <c r="W244" i="9"/>
  <c r="I251" i="9"/>
  <c r="T251" i="9"/>
  <c r="I243" i="9"/>
  <c r="T243" i="9"/>
  <c r="G251" i="9"/>
  <c r="R251" i="9"/>
  <c r="J256" i="9"/>
  <c r="U256" i="9"/>
  <c r="N256" i="9"/>
  <c r="Y256" i="9"/>
  <c r="N248" i="9"/>
  <c r="Y248" i="9"/>
  <c r="I257" i="9"/>
  <c r="T257" i="9"/>
  <c r="I249" i="9"/>
  <c r="T249" i="9"/>
  <c r="G257" i="9"/>
  <c r="R257" i="9"/>
  <c r="K247" i="9"/>
  <c r="V247" i="9"/>
  <c r="F248" i="9"/>
  <c r="Q248" i="9"/>
  <c r="G250" i="9"/>
  <c r="R250" i="9"/>
  <c r="M246" i="9"/>
  <c r="X246" i="9"/>
  <c r="M251" i="9"/>
  <c r="X251" i="9"/>
  <c r="K250" i="9"/>
  <c r="V250" i="9"/>
  <c r="N246" i="9"/>
  <c r="Y246" i="9"/>
  <c r="O248" i="9"/>
  <c r="Z248" i="9"/>
  <c r="M248" i="9"/>
  <c r="X248" i="9"/>
  <c r="K248" i="9"/>
  <c r="V248" i="9"/>
  <c r="N252" i="9"/>
  <c r="Y252" i="9"/>
  <c r="M253" i="9"/>
  <c r="X253" i="9"/>
  <c r="O243" i="9"/>
  <c r="Z243" i="9"/>
  <c r="G243" i="9"/>
  <c r="R243" i="9"/>
  <c r="J251" i="9"/>
  <c r="U251" i="9"/>
  <c r="J245" i="9"/>
  <c r="U245" i="9"/>
  <c r="F255" i="9"/>
  <c r="Q255" i="9"/>
  <c r="L252" i="9"/>
  <c r="W252" i="9"/>
  <c r="J255" i="9"/>
  <c r="U255" i="9"/>
  <c r="N247" i="9"/>
  <c r="Y247" i="9"/>
  <c r="H257" i="9"/>
  <c r="S257" i="9"/>
  <c r="H249" i="9"/>
  <c r="S249" i="9"/>
  <c r="M257" i="9"/>
  <c r="X257" i="9"/>
  <c r="M249" i="9"/>
  <c r="X249" i="9"/>
  <c r="K257" i="9"/>
  <c r="V257" i="9"/>
  <c r="O247" i="9"/>
  <c r="Z247" i="9"/>
  <c r="N254" i="9"/>
  <c r="Y254" i="9"/>
  <c r="H255" i="9"/>
  <c r="S255" i="9"/>
  <c r="L245" i="9"/>
  <c r="W245" i="9"/>
  <c r="M255" i="9"/>
  <c r="X255" i="9"/>
  <c r="M247" i="9"/>
  <c r="X247" i="9"/>
  <c r="O253" i="9"/>
  <c r="Z253" i="9"/>
  <c r="O245" i="9"/>
  <c r="Z245" i="9"/>
  <c r="N244" i="9"/>
  <c r="Y244" i="9"/>
  <c r="M243" i="9"/>
  <c r="X243" i="9"/>
  <c r="K243" i="9"/>
  <c r="V243" i="9"/>
  <c r="O257" i="9"/>
  <c r="Z257" i="9"/>
  <c r="K253" i="9"/>
  <c r="V253" i="9"/>
  <c r="L243" i="9"/>
  <c r="W243" i="9"/>
  <c r="M245" i="9"/>
  <c r="X245" i="9"/>
  <c r="L249" i="9"/>
  <c r="W249" i="9"/>
  <c r="I245" i="9"/>
  <c r="T245" i="9"/>
  <c r="J248" i="9"/>
  <c r="U248" i="9"/>
  <c r="I247" i="9"/>
  <c r="T247" i="9"/>
  <c r="L246" i="9"/>
  <c r="W246" i="9"/>
  <c r="F249" i="9"/>
  <c r="Q249" i="9"/>
  <c r="J244" i="9"/>
  <c r="U244" i="9"/>
  <c r="M244" i="9"/>
  <c r="X244" i="9"/>
  <c r="O250" i="9"/>
  <c r="Z250" i="9"/>
  <c r="G258" i="9"/>
  <c r="R258" i="9"/>
  <c r="O251" i="9"/>
  <c r="Z251" i="9"/>
  <c r="I250" i="9"/>
  <c r="T250" i="9"/>
  <c r="F253" i="9"/>
  <c r="Q253" i="9"/>
  <c r="L256" i="9"/>
  <c r="W256" i="9"/>
  <c r="J247" i="9"/>
  <c r="U247" i="9"/>
  <c r="L255" i="9"/>
  <c r="W255" i="9"/>
  <c r="G256" i="9"/>
  <c r="R256" i="9"/>
  <c r="I254" i="9"/>
  <c r="T254" i="9"/>
  <c r="H253" i="9"/>
  <c r="S253" i="9"/>
  <c r="F244" i="9"/>
  <c r="Q244" i="9"/>
  <c r="K244" i="9"/>
  <c r="V244" i="9"/>
  <c r="I244" i="9"/>
  <c r="T244" i="9"/>
  <c r="I256" i="9"/>
  <c r="T256" i="9"/>
  <c r="G245" i="9"/>
  <c r="R245" i="9"/>
  <c r="K258" i="9"/>
  <c r="V258" i="9"/>
  <c r="H243" i="9"/>
  <c r="S243" i="9"/>
  <c r="H245" i="9"/>
  <c r="S245" i="9"/>
  <c r="H256" i="9"/>
  <c r="S256" i="9"/>
  <c r="H258" i="9"/>
  <c r="S258" i="9"/>
  <c r="L250" i="9"/>
  <c r="W250" i="9"/>
  <c r="J252" i="9"/>
  <c r="U252" i="9"/>
  <c r="K254" i="9"/>
  <c r="V254" i="9"/>
  <c r="M252" i="9"/>
  <c r="X252" i="9"/>
  <c r="J258" i="9"/>
  <c r="U258" i="9"/>
  <c r="H244" i="9"/>
  <c r="S244" i="9"/>
  <c r="M258" i="9"/>
  <c r="X258" i="9"/>
  <c r="L251" i="9"/>
  <c r="W251" i="9"/>
  <c r="G253" i="9"/>
  <c r="R253" i="9"/>
  <c r="N243" i="9"/>
  <c r="Y243" i="9"/>
  <c r="G252" i="9"/>
  <c r="R252" i="9"/>
  <c r="O254" i="9"/>
  <c r="Z254" i="9"/>
  <c r="O256" i="9"/>
  <c r="Z256" i="9"/>
  <c r="F245" i="9"/>
  <c r="Q245" i="9"/>
  <c r="L248" i="9"/>
  <c r="W248" i="9"/>
  <c r="N255" i="9"/>
  <c r="Y255" i="9"/>
  <c r="F251" i="9"/>
  <c r="Q251" i="9"/>
  <c r="F246" i="9"/>
  <c r="Q246" i="9"/>
  <c r="G248" i="9"/>
  <c r="R248" i="9"/>
  <c r="I246" i="9"/>
  <c r="T246" i="9"/>
  <c r="F252" i="9"/>
  <c r="Q252" i="9"/>
  <c r="G254" i="9"/>
  <c r="R254" i="9"/>
  <c r="I252" i="9"/>
  <c r="T252" i="9"/>
  <c r="K256" i="9"/>
  <c r="V256" i="9"/>
  <c r="J254" i="9"/>
  <c r="U254" i="9"/>
  <c r="G247" i="9"/>
  <c r="R247" i="9"/>
  <c r="G255" i="9"/>
  <c r="R255" i="9"/>
  <c r="M254" i="9"/>
  <c r="X254" i="9"/>
  <c r="M256" i="9"/>
  <c r="X256" i="9"/>
  <c r="H250" i="9"/>
  <c r="S250" i="9"/>
  <c r="H254" i="9"/>
  <c r="S254" i="9"/>
  <c r="O244" i="9"/>
  <c r="Z244" i="9"/>
  <c r="J250" i="9"/>
  <c r="U250" i="9"/>
  <c r="M250" i="9"/>
  <c r="X250" i="9"/>
  <c r="I253" i="9"/>
  <c r="T253" i="9"/>
  <c r="F256" i="9"/>
  <c r="Q256" i="9"/>
  <c r="I248" i="9"/>
  <c r="T248" i="9"/>
  <c r="K145" i="9"/>
  <c r="V145" i="9"/>
  <c r="O145" i="9"/>
  <c r="Z145" i="9"/>
  <c r="M142" i="9"/>
  <c r="X142" i="9"/>
  <c r="G133" i="9"/>
  <c r="R133" i="9"/>
  <c r="M136" i="9"/>
  <c r="X136" i="9"/>
  <c r="G141" i="9"/>
  <c r="R141" i="9"/>
  <c r="O131" i="9"/>
  <c r="Z131" i="9"/>
  <c r="M144" i="9"/>
  <c r="X144" i="9"/>
  <c r="I132" i="9"/>
  <c r="T132" i="9"/>
  <c r="M138" i="9"/>
  <c r="X138" i="9"/>
  <c r="G145" i="9"/>
  <c r="R145" i="9"/>
  <c r="M132" i="9"/>
  <c r="X132" i="9"/>
  <c r="G139" i="9"/>
  <c r="R139" i="9"/>
  <c r="I136" i="9"/>
  <c r="T136" i="9"/>
  <c r="O139" i="9"/>
  <c r="Z139" i="9"/>
  <c r="I144" i="9"/>
  <c r="T144" i="9"/>
  <c r="O133" i="9"/>
  <c r="Z133" i="9"/>
  <c r="O141" i="9"/>
  <c r="Z141" i="9"/>
  <c r="K137" i="9"/>
  <c r="V137" i="9"/>
  <c r="K139" i="9"/>
  <c r="V139" i="9"/>
  <c r="I146" i="9"/>
  <c r="T146" i="9"/>
  <c r="K141" i="9"/>
  <c r="V141" i="9"/>
  <c r="I140" i="9"/>
  <c r="T140" i="9"/>
  <c r="I134" i="9"/>
  <c r="T134" i="9"/>
  <c r="O143" i="9"/>
  <c r="Z143" i="9"/>
  <c r="G143" i="9"/>
  <c r="R143" i="9"/>
  <c r="K131" i="9"/>
  <c r="V131" i="9"/>
  <c r="I138" i="9"/>
  <c r="T138" i="9"/>
  <c r="K135" i="9"/>
  <c r="V135" i="9"/>
  <c r="M146" i="9"/>
  <c r="X146" i="9"/>
  <c r="I142" i="9"/>
  <c r="T142" i="9"/>
  <c r="O137" i="9"/>
  <c r="Z137" i="9"/>
  <c r="G135" i="9"/>
  <c r="R135" i="9"/>
  <c r="K143" i="9"/>
  <c r="V143" i="9"/>
  <c r="M140" i="9"/>
  <c r="X140" i="9"/>
  <c r="H137" i="9"/>
  <c r="S137" i="9"/>
  <c r="M134" i="9"/>
  <c r="X134" i="9"/>
  <c r="O135" i="9"/>
  <c r="Z135" i="9"/>
  <c r="J132" i="9"/>
  <c r="U132" i="9"/>
  <c r="K134" i="9"/>
  <c r="V134" i="9"/>
  <c r="L136" i="9"/>
  <c r="W136" i="9"/>
  <c r="N138" i="9"/>
  <c r="Y138" i="9"/>
  <c r="O140" i="9"/>
  <c r="Z140" i="9"/>
  <c r="F143" i="9"/>
  <c r="Q143" i="9"/>
  <c r="H145" i="9"/>
  <c r="S145" i="9"/>
  <c r="J131" i="9"/>
  <c r="U131" i="9"/>
  <c r="L133" i="9"/>
  <c r="W133" i="9"/>
  <c r="M135" i="9"/>
  <c r="X135" i="9"/>
  <c r="N137" i="9"/>
  <c r="Y137" i="9"/>
  <c r="F140" i="9"/>
  <c r="Q140" i="9"/>
  <c r="G142" i="9"/>
  <c r="R142" i="9"/>
  <c r="H144" i="9"/>
  <c r="S144" i="9"/>
  <c r="J146" i="9"/>
  <c r="U146" i="9"/>
  <c r="N133" i="9"/>
  <c r="Y133" i="9"/>
  <c r="G138" i="9"/>
  <c r="R138" i="9"/>
  <c r="J142" i="9"/>
  <c r="U142" i="9"/>
  <c r="L146" i="9"/>
  <c r="W146" i="9"/>
  <c r="L138" i="9"/>
  <c r="W138" i="9"/>
  <c r="L132" i="9"/>
  <c r="W132" i="9"/>
  <c r="H141" i="9"/>
  <c r="S141" i="9"/>
  <c r="G132" i="9"/>
  <c r="R132" i="9"/>
  <c r="J136" i="9"/>
  <c r="U136" i="9"/>
  <c r="L140" i="9"/>
  <c r="W140" i="9"/>
  <c r="O144" i="9"/>
  <c r="Z144" i="9"/>
  <c r="J135" i="9"/>
  <c r="U135" i="9"/>
  <c r="F144" i="9"/>
  <c r="Q144" i="9"/>
  <c r="N135" i="9"/>
  <c r="Y135" i="9"/>
  <c r="J144" i="9"/>
  <c r="U144" i="9"/>
  <c r="G131" i="9"/>
  <c r="R131" i="9"/>
  <c r="O132" i="9"/>
  <c r="Z132" i="9"/>
  <c r="F135" i="9"/>
  <c r="Q135" i="9"/>
  <c r="I139" i="9"/>
  <c r="T139" i="9"/>
  <c r="J141" i="9"/>
  <c r="U141" i="9"/>
  <c r="L143" i="9"/>
  <c r="W143" i="9"/>
  <c r="M145" i="9"/>
  <c r="X145" i="9"/>
  <c r="F132" i="9"/>
  <c r="Q132" i="9"/>
  <c r="G134" i="9"/>
  <c r="R134" i="9"/>
  <c r="H136" i="9"/>
  <c r="S136" i="9"/>
  <c r="J138" i="9"/>
  <c r="U138" i="9"/>
  <c r="K140" i="9"/>
  <c r="V140" i="9"/>
  <c r="L142" i="9"/>
  <c r="W142" i="9"/>
  <c r="N144" i="9"/>
  <c r="Y144" i="9"/>
  <c r="O146" i="9"/>
  <c r="Z146" i="9"/>
  <c r="O134" i="9"/>
  <c r="Z134" i="9"/>
  <c r="H139" i="9"/>
  <c r="S139" i="9"/>
  <c r="J143" i="9"/>
  <c r="U143" i="9"/>
  <c r="H132" i="9"/>
  <c r="S132" i="9"/>
  <c r="N140" i="9"/>
  <c r="Y140" i="9"/>
  <c r="N134" i="9"/>
  <c r="Y134" i="9"/>
  <c r="I143" i="9"/>
  <c r="T143" i="9"/>
  <c r="H133" i="9"/>
  <c r="S133" i="9"/>
  <c r="J137" i="9"/>
  <c r="U137" i="9"/>
  <c r="M141" i="9"/>
  <c r="X141" i="9"/>
  <c r="F146" i="9"/>
  <c r="Q146" i="9"/>
  <c r="L137" i="9"/>
  <c r="W137" i="9"/>
  <c r="G146" i="9"/>
  <c r="R146" i="9"/>
  <c r="F138" i="9"/>
  <c r="Q138" i="9"/>
  <c r="K146" i="9"/>
  <c r="V146" i="9"/>
  <c r="K133" i="9"/>
  <c r="V133" i="9"/>
  <c r="G137" i="9"/>
  <c r="R137" i="9"/>
  <c r="L134" i="9"/>
  <c r="W134" i="9"/>
  <c r="H138" i="9"/>
  <c r="S138" i="9"/>
  <c r="N146" i="9"/>
  <c r="Y146" i="9"/>
  <c r="J139" i="9"/>
  <c r="U139" i="9"/>
  <c r="N132" i="9"/>
  <c r="Y132" i="9"/>
  <c r="K136" i="9"/>
  <c r="V136" i="9"/>
  <c r="I135" i="9"/>
  <c r="T135" i="9"/>
  <c r="N141" i="9"/>
  <c r="Y141" i="9"/>
  <c r="I131" i="9"/>
  <c r="T131" i="9"/>
  <c r="L135" i="9"/>
  <c r="W135" i="9"/>
  <c r="N139" i="9"/>
  <c r="Y139" i="9"/>
  <c r="G144" i="9"/>
  <c r="R144" i="9"/>
  <c r="K132" i="9"/>
  <c r="V132" i="9"/>
  <c r="N136" i="9"/>
  <c r="Y136" i="9"/>
  <c r="F141" i="9"/>
  <c r="Q141" i="9"/>
  <c r="I145" i="9"/>
  <c r="T145" i="9"/>
  <c r="F136" i="9"/>
  <c r="Q136" i="9"/>
  <c r="K144" i="9"/>
  <c r="V144" i="9"/>
  <c r="O142" i="9"/>
  <c r="Z142" i="9"/>
  <c r="J145" i="9"/>
  <c r="U145" i="9"/>
  <c r="K138" i="9"/>
  <c r="V138" i="9"/>
  <c r="H131" i="9"/>
  <c r="S131" i="9"/>
  <c r="L131" i="9"/>
  <c r="W131" i="9"/>
  <c r="N131" i="9"/>
  <c r="Y131" i="9"/>
  <c r="G136" i="9"/>
  <c r="R136" i="9"/>
  <c r="J140" i="9"/>
  <c r="U140" i="9"/>
  <c r="L144" i="9"/>
  <c r="W144" i="9"/>
  <c r="F133" i="9"/>
  <c r="Q133" i="9"/>
  <c r="I137" i="9"/>
  <c r="T137" i="9"/>
  <c r="L141" i="9"/>
  <c r="W141" i="9"/>
  <c r="N145" i="9"/>
  <c r="Y145" i="9"/>
  <c r="F137" i="9"/>
  <c r="Q137" i="9"/>
  <c r="L145" i="9"/>
  <c r="W145" i="9"/>
  <c r="F145" i="9"/>
  <c r="Q145" i="9"/>
  <c r="F131" i="9"/>
  <c r="Q131" i="9"/>
  <c r="L139" i="9"/>
  <c r="W139" i="9"/>
  <c r="I133" i="9"/>
  <c r="T133" i="9"/>
  <c r="M133" i="9"/>
  <c r="X133" i="9"/>
  <c r="J133" i="9"/>
  <c r="U133" i="9"/>
  <c r="M137" i="9"/>
  <c r="X137" i="9"/>
  <c r="F142" i="9"/>
  <c r="Q142" i="9"/>
  <c r="H146" i="9"/>
  <c r="S146" i="9"/>
  <c r="O138" i="9"/>
  <c r="Z138" i="9"/>
  <c r="H143" i="9"/>
  <c r="S143" i="9"/>
  <c r="M131" i="9"/>
  <c r="X131" i="9"/>
  <c r="H140" i="9"/>
  <c r="S140" i="9"/>
  <c r="J134" i="9"/>
  <c r="U134" i="9"/>
  <c r="O136" i="9"/>
  <c r="Z136" i="9"/>
  <c r="H134" i="9"/>
  <c r="S134" i="9"/>
  <c r="N142" i="9"/>
  <c r="Y142" i="9"/>
  <c r="M139" i="9"/>
  <c r="X139" i="9"/>
  <c r="G140" i="9"/>
  <c r="R140" i="9"/>
  <c r="F134" i="9"/>
  <c r="Q134" i="9"/>
  <c r="K142" i="9"/>
  <c r="V142" i="9"/>
  <c r="H135" i="9"/>
  <c r="S135" i="9"/>
  <c r="M143" i="9"/>
  <c r="X143" i="9"/>
  <c r="I141" i="9"/>
  <c r="T141" i="9"/>
  <c r="F139" i="9"/>
  <c r="Q139" i="9"/>
  <c r="N143" i="9"/>
  <c r="Y143" i="9"/>
  <c r="H142" i="9"/>
  <c r="S142" i="9"/>
  <c r="I115" i="9"/>
  <c r="T115" i="9"/>
  <c r="I117" i="9"/>
  <c r="T117" i="9"/>
  <c r="G120" i="9"/>
  <c r="R120" i="9"/>
  <c r="K126" i="9"/>
  <c r="V126" i="9"/>
  <c r="L116" i="9"/>
  <c r="W116" i="9"/>
  <c r="F123" i="9"/>
  <c r="Q123" i="9"/>
  <c r="J129" i="9"/>
  <c r="U129" i="9"/>
  <c r="N124" i="9"/>
  <c r="Y124" i="9"/>
  <c r="J128" i="9"/>
  <c r="U128" i="9"/>
  <c r="K119" i="9"/>
  <c r="V119" i="9"/>
  <c r="F118" i="9"/>
  <c r="Q118" i="9"/>
  <c r="K125" i="9"/>
  <c r="V125" i="9"/>
  <c r="I125" i="9"/>
  <c r="T125" i="9"/>
  <c r="J115" i="9"/>
  <c r="U115" i="9"/>
  <c r="N121" i="9"/>
  <c r="Y121" i="9"/>
  <c r="H128" i="9"/>
  <c r="S128" i="9"/>
  <c r="J122" i="9"/>
  <c r="U122" i="9"/>
  <c r="L123" i="9"/>
  <c r="W123" i="9"/>
  <c r="G117" i="9"/>
  <c r="R117" i="9"/>
  <c r="O129" i="9"/>
  <c r="Z129" i="9"/>
  <c r="M120" i="9"/>
  <c r="X120" i="9"/>
  <c r="O122" i="9"/>
  <c r="Z122" i="9"/>
  <c r="I129" i="9"/>
  <c r="T129" i="9"/>
  <c r="J119" i="9"/>
  <c r="U119" i="9"/>
  <c r="N125" i="9"/>
  <c r="Y125" i="9"/>
  <c r="L117" i="9"/>
  <c r="W117" i="9"/>
  <c r="J130" i="9"/>
  <c r="U130" i="9"/>
  <c r="M124" i="9"/>
  <c r="X124" i="9"/>
  <c r="G125" i="9"/>
  <c r="R125" i="9"/>
  <c r="H129" i="9"/>
  <c r="S129" i="9"/>
  <c r="K122" i="9"/>
  <c r="V122" i="9"/>
  <c r="N116" i="9"/>
  <c r="Y116" i="9"/>
  <c r="L127" i="9"/>
  <c r="W127" i="9"/>
  <c r="F127" i="9"/>
  <c r="Q127" i="9"/>
  <c r="K127" i="9"/>
  <c r="V127" i="9"/>
  <c r="N115" i="9"/>
  <c r="Y115" i="9"/>
  <c r="H125" i="9"/>
  <c r="S125" i="9"/>
  <c r="J117" i="9"/>
  <c r="U117" i="9"/>
  <c r="O120" i="9"/>
  <c r="Z120" i="9"/>
  <c r="J126" i="9"/>
  <c r="U126" i="9"/>
  <c r="K116" i="9"/>
  <c r="V116" i="9"/>
  <c r="K118" i="9"/>
  <c r="V118" i="9"/>
  <c r="G116" i="9"/>
  <c r="R116" i="9"/>
  <c r="I123" i="9"/>
  <c r="T123" i="9"/>
  <c r="M129" i="9"/>
  <c r="X129" i="9"/>
  <c r="N119" i="9"/>
  <c r="Y119" i="9"/>
  <c r="H126" i="9"/>
  <c r="S126" i="9"/>
  <c r="J118" i="9"/>
  <c r="U118" i="9"/>
  <c r="L115" i="9"/>
  <c r="W115" i="9"/>
  <c r="I126" i="9"/>
  <c r="T126" i="9"/>
  <c r="O125" i="9"/>
  <c r="Z125" i="9"/>
  <c r="N130" i="9"/>
  <c r="Y130" i="9"/>
  <c r="G122" i="9"/>
  <c r="R122" i="9"/>
  <c r="L118" i="9"/>
  <c r="W118" i="9"/>
  <c r="F125" i="9"/>
  <c r="Q125" i="9"/>
  <c r="F116" i="9"/>
  <c r="Q116" i="9"/>
  <c r="N128" i="9"/>
  <c r="Y128" i="9"/>
  <c r="K121" i="9"/>
  <c r="V121" i="9"/>
  <c r="K123" i="9"/>
  <c r="V123" i="9"/>
  <c r="M119" i="9"/>
  <c r="X119" i="9"/>
  <c r="G126" i="9"/>
  <c r="R126" i="9"/>
  <c r="H116" i="9"/>
  <c r="S116" i="9"/>
  <c r="F129" i="9"/>
  <c r="Q129" i="9"/>
  <c r="N126" i="9"/>
  <c r="Y126" i="9"/>
  <c r="J116" i="9"/>
  <c r="U116" i="9"/>
  <c r="F119" i="9"/>
  <c r="Q119" i="9"/>
  <c r="K130" i="9"/>
  <c r="V130" i="9"/>
  <c r="I119" i="9"/>
  <c r="T119" i="9"/>
  <c r="M130" i="9"/>
  <c r="X130" i="9"/>
  <c r="H121" i="9"/>
  <c r="S121" i="9"/>
  <c r="O116" i="9"/>
  <c r="Z116" i="9"/>
  <c r="O118" i="9"/>
  <c r="Z118" i="9"/>
  <c r="M121" i="9"/>
  <c r="X121" i="9"/>
  <c r="G128" i="9"/>
  <c r="R128" i="9"/>
  <c r="H118" i="9"/>
  <c r="S118" i="9"/>
  <c r="L124" i="9"/>
  <c r="W124" i="9"/>
  <c r="H115" i="9"/>
  <c r="S115" i="9"/>
  <c r="F128" i="9"/>
  <c r="Q128" i="9"/>
  <c r="O119" i="9"/>
  <c r="Z119" i="9"/>
  <c r="M122" i="9"/>
  <c r="X122" i="9"/>
  <c r="J124" i="9"/>
  <c r="U124" i="9"/>
  <c r="K120" i="9"/>
  <c r="V120" i="9"/>
  <c r="O126" i="9"/>
  <c r="Z126" i="9"/>
  <c r="F117" i="9"/>
  <c r="Q117" i="9"/>
  <c r="J123" i="9"/>
  <c r="U123" i="9"/>
  <c r="N129" i="9"/>
  <c r="Y129" i="9"/>
  <c r="L125" i="9"/>
  <c r="W125" i="9"/>
  <c r="F130" i="9"/>
  <c r="Q130" i="9"/>
  <c r="I120" i="9"/>
  <c r="T120" i="9"/>
  <c r="L119" i="9"/>
  <c r="W119" i="9"/>
  <c r="G127" i="9"/>
  <c r="R127" i="9"/>
  <c r="K124" i="9"/>
  <c r="V124" i="9"/>
  <c r="O130" i="9"/>
  <c r="Z130" i="9"/>
  <c r="F121" i="9"/>
  <c r="Q121" i="9"/>
  <c r="J127" i="9"/>
  <c r="U127" i="9"/>
  <c r="N120" i="9"/>
  <c r="Y120" i="9"/>
  <c r="J120" i="9"/>
  <c r="U120" i="9"/>
  <c r="K115" i="9"/>
  <c r="V115" i="9"/>
  <c r="I128" i="9"/>
  <c r="T128" i="9"/>
  <c r="I118" i="9"/>
  <c r="T118" i="9"/>
  <c r="O128" i="9"/>
  <c r="Z128" i="9"/>
  <c r="L129" i="9"/>
  <c r="W129" i="9"/>
  <c r="G124" i="9"/>
  <c r="R124" i="9"/>
  <c r="F120" i="9"/>
  <c r="Q120" i="9"/>
  <c r="M116" i="9"/>
  <c r="X116" i="9"/>
  <c r="H122" i="9"/>
  <c r="S122" i="9"/>
  <c r="O117" i="9"/>
  <c r="Z117" i="9"/>
  <c r="O115" i="9"/>
  <c r="Z115" i="9"/>
  <c r="H130" i="9"/>
  <c r="S130" i="9"/>
  <c r="M128" i="9"/>
  <c r="X128" i="9"/>
  <c r="K128" i="9"/>
  <c r="V128" i="9"/>
  <c r="F126" i="9"/>
  <c r="Q126" i="9"/>
  <c r="L122" i="9"/>
  <c r="W122" i="9"/>
  <c r="F124" i="9"/>
  <c r="Q124" i="9"/>
  <c r="M118" i="9"/>
  <c r="X118" i="9"/>
  <c r="O123" i="9"/>
  <c r="Z123" i="9"/>
  <c r="G123" i="9"/>
  <c r="R123" i="9"/>
  <c r="N118" i="9"/>
  <c r="Y118" i="9"/>
  <c r="L128" i="9"/>
  <c r="W128" i="9"/>
  <c r="N123" i="9"/>
  <c r="Y123" i="9"/>
  <c r="M117" i="9"/>
  <c r="X117" i="9"/>
  <c r="G129" i="9"/>
  <c r="R129" i="9"/>
  <c r="O127" i="9"/>
  <c r="Z127" i="9"/>
  <c r="H127" i="9"/>
  <c r="S127" i="9"/>
  <c r="K129" i="9"/>
  <c r="V129" i="9"/>
  <c r="O124" i="9"/>
  <c r="Z124" i="9"/>
  <c r="L121" i="9"/>
  <c r="W121" i="9"/>
  <c r="G119" i="9"/>
  <c r="R119" i="9"/>
  <c r="L126" i="9"/>
  <c r="W126" i="9"/>
  <c r="M126" i="9"/>
  <c r="X126" i="9"/>
  <c r="N117" i="9"/>
  <c r="Y117" i="9"/>
  <c r="K117" i="9"/>
  <c r="V117" i="9"/>
  <c r="J125" i="9"/>
  <c r="U125" i="9"/>
  <c r="M125" i="9"/>
  <c r="X125" i="9"/>
  <c r="I127" i="9"/>
  <c r="T127" i="9"/>
  <c r="G118" i="9"/>
  <c r="R118" i="9"/>
  <c r="F115" i="9"/>
  <c r="Q115" i="9"/>
  <c r="F122" i="9"/>
  <c r="Q122" i="9"/>
  <c r="M123" i="9"/>
  <c r="X123" i="9"/>
  <c r="H119" i="9"/>
  <c r="S119" i="9"/>
  <c r="G115" i="9"/>
  <c r="R115" i="9"/>
  <c r="H124" i="9"/>
  <c r="S124" i="9"/>
  <c r="O121" i="9"/>
  <c r="Z121" i="9"/>
  <c r="I124" i="9"/>
  <c r="T124" i="9"/>
  <c r="H123" i="9"/>
  <c r="S123" i="9"/>
  <c r="M115" i="9"/>
  <c r="X115" i="9"/>
  <c r="J121" i="9"/>
  <c r="U121" i="9"/>
  <c r="I116" i="9"/>
  <c r="T116" i="9"/>
  <c r="G130" i="9"/>
  <c r="R130" i="9"/>
  <c r="H117" i="9"/>
  <c r="S117" i="9"/>
  <c r="I121" i="9"/>
  <c r="T121" i="9"/>
  <c r="L130" i="9"/>
  <c r="W130" i="9"/>
  <c r="N122" i="9"/>
  <c r="Y122" i="9"/>
  <c r="L120" i="9"/>
  <c r="W120" i="9"/>
  <c r="I122" i="9"/>
  <c r="T122" i="9"/>
  <c r="N127" i="9"/>
  <c r="Y127" i="9"/>
  <c r="H120" i="9"/>
  <c r="S120" i="9"/>
  <c r="M127" i="9"/>
  <c r="X127" i="9"/>
  <c r="I130" i="9"/>
  <c r="T130" i="9"/>
  <c r="G121" i="9"/>
  <c r="R121" i="9"/>
  <c r="P1079" i="9"/>
  <c r="K516" i="9"/>
  <c r="V516" i="9"/>
  <c r="L518" i="9"/>
  <c r="W518" i="9"/>
  <c r="N520" i="9"/>
  <c r="Y520" i="9"/>
  <c r="O522" i="9"/>
  <c r="Z522" i="9"/>
  <c r="F525" i="9"/>
  <c r="Q525" i="9"/>
  <c r="H527" i="9"/>
  <c r="S527" i="9"/>
  <c r="I529" i="9"/>
  <c r="T529" i="9"/>
  <c r="F515" i="9"/>
  <c r="Q515" i="9"/>
  <c r="H517" i="9"/>
  <c r="S517" i="9"/>
  <c r="I519" i="9"/>
  <c r="T519" i="9"/>
  <c r="J521" i="9"/>
  <c r="U521" i="9"/>
  <c r="L523" i="9"/>
  <c r="W523" i="9"/>
  <c r="M525" i="9"/>
  <c r="X525" i="9"/>
  <c r="N527" i="9"/>
  <c r="Y527" i="9"/>
  <c r="F530" i="9"/>
  <c r="Q530" i="9"/>
  <c r="I517" i="9"/>
  <c r="T517" i="9"/>
  <c r="L521" i="9"/>
  <c r="W521" i="9"/>
  <c r="N525" i="9"/>
  <c r="Y525" i="9"/>
  <c r="G530" i="9"/>
  <c r="R530" i="9"/>
  <c r="J516" i="9"/>
  <c r="U516" i="9"/>
  <c r="L520" i="9"/>
  <c r="W520" i="9"/>
  <c r="O524" i="9"/>
  <c r="Z524" i="9"/>
  <c r="H529" i="9"/>
  <c r="S529" i="9"/>
  <c r="N517" i="9"/>
  <c r="Y517" i="9"/>
  <c r="G522" i="9"/>
  <c r="R522" i="9"/>
  <c r="J527" i="9"/>
  <c r="U527" i="9"/>
  <c r="H522" i="9"/>
  <c r="S522" i="9"/>
  <c r="J525" i="9"/>
  <c r="U525" i="9"/>
  <c r="N515" i="9"/>
  <c r="Y515" i="9"/>
  <c r="H521" i="9"/>
  <c r="S521" i="9"/>
  <c r="I526" i="9"/>
  <c r="T526" i="9"/>
  <c r="O519" i="9"/>
  <c r="Z519" i="9"/>
  <c r="M528" i="9"/>
  <c r="X528" i="9"/>
  <c r="M520" i="9"/>
  <c r="X520" i="9"/>
  <c r="G529" i="9"/>
  <c r="R529" i="9"/>
  <c r="M522" i="9"/>
  <c r="X522" i="9"/>
  <c r="I516" i="9"/>
  <c r="T516" i="9"/>
  <c r="K523" i="9"/>
  <c r="V523" i="9"/>
  <c r="I528" i="9"/>
  <c r="T528" i="9"/>
  <c r="I520" i="9"/>
  <c r="T520" i="9"/>
  <c r="G515" i="9"/>
  <c r="R515" i="9"/>
  <c r="L517" i="9"/>
  <c r="W517" i="9"/>
  <c r="H520" i="9"/>
  <c r="S520" i="9"/>
  <c r="J523" i="9"/>
  <c r="U523" i="9"/>
  <c r="G526" i="9"/>
  <c r="R526" i="9"/>
  <c r="N528" i="9"/>
  <c r="Y528" i="9"/>
  <c r="L515" i="9"/>
  <c r="W515" i="9"/>
  <c r="H518" i="9"/>
  <c r="S518" i="9"/>
  <c r="O520" i="9"/>
  <c r="Z520" i="9"/>
  <c r="G524" i="9"/>
  <c r="R524" i="9"/>
  <c r="N526" i="9"/>
  <c r="Y526" i="9"/>
  <c r="J529" i="9"/>
  <c r="U529" i="9"/>
  <c r="J518" i="9"/>
  <c r="U518" i="9"/>
  <c r="M523" i="9"/>
  <c r="X523" i="9"/>
  <c r="F529" i="9"/>
  <c r="Q529" i="9"/>
  <c r="J517" i="9"/>
  <c r="U517" i="9"/>
  <c r="N522" i="9"/>
  <c r="Y522" i="9"/>
  <c r="G528" i="9"/>
  <c r="R528" i="9"/>
  <c r="O518" i="9"/>
  <c r="Z518" i="9"/>
  <c r="I525" i="9"/>
  <c r="T525" i="9"/>
  <c r="F518" i="9"/>
  <c r="Q518" i="9"/>
  <c r="F519" i="9"/>
  <c r="Q519" i="9"/>
  <c r="J524" i="9"/>
  <c r="U524" i="9"/>
  <c r="O527" i="9"/>
  <c r="Z527" i="9"/>
  <c r="I518" i="9"/>
  <c r="T518" i="9"/>
  <c r="K525" i="9"/>
  <c r="V525" i="9"/>
  <c r="M530" i="9"/>
  <c r="X530" i="9"/>
  <c r="G521" i="9"/>
  <c r="R521" i="9"/>
  <c r="K517" i="9"/>
  <c r="V517" i="9"/>
  <c r="M518" i="9"/>
  <c r="X518" i="9"/>
  <c r="F517" i="9"/>
  <c r="Q517" i="9"/>
  <c r="I521" i="9"/>
  <c r="T521" i="9"/>
  <c r="K524" i="9"/>
  <c r="V524" i="9"/>
  <c r="H528" i="9"/>
  <c r="S528" i="9"/>
  <c r="G516" i="9"/>
  <c r="R516" i="9"/>
  <c r="N519" i="9"/>
  <c r="Y519" i="9"/>
  <c r="F523" i="9"/>
  <c r="Q523" i="9"/>
  <c r="I527" i="9"/>
  <c r="T527" i="9"/>
  <c r="H515" i="9"/>
  <c r="S515" i="9"/>
  <c r="L522" i="9"/>
  <c r="W522" i="9"/>
  <c r="H524" i="9"/>
  <c r="S524" i="9"/>
  <c r="L519" i="9"/>
  <c r="W519" i="9"/>
  <c r="F527" i="9"/>
  <c r="Q527" i="9"/>
  <c r="F520" i="9"/>
  <c r="Q520" i="9"/>
  <c r="K528" i="9"/>
  <c r="V528" i="9"/>
  <c r="O516" i="9"/>
  <c r="Z516" i="9"/>
  <c r="L528" i="9"/>
  <c r="W528" i="9"/>
  <c r="G523" i="9"/>
  <c r="R523" i="9"/>
  <c r="G527" i="9"/>
  <c r="R527" i="9"/>
  <c r="K527" i="9"/>
  <c r="V527" i="9"/>
  <c r="O517" i="9"/>
  <c r="Z517" i="9"/>
  <c r="G525" i="9"/>
  <c r="R525" i="9"/>
  <c r="H519" i="9"/>
  <c r="S519" i="9"/>
  <c r="F524" i="9"/>
  <c r="Q524" i="9"/>
  <c r="N529" i="9"/>
  <c r="Y529" i="9"/>
  <c r="M517" i="9"/>
  <c r="X517" i="9"/>
  <c r="K522" i="9"/>
  <c r="V522" i="9"/>
  <c r="J528" i="9"/>
  <c r="U528" i="9"/>
  <c r="J519" i="9"/>
  <c r="U519" i="9"/>
  <c r="F528" i="9"/>
  <c r="Q528" i="9"/>
  <c r="M521" i="9"/>
  <c r="X521" i="9"/>
  <c r="M515" i="9"/>
  <c r="X515" i="9"/>
  <c r="J526" i="9"/>
  <c r="U526" i="9"/>
  <c r="I523" i="9"/>
  <c r="T523" i="9"/>
  <c r="K529" i="9"/>
  <c r="V529" i="9"/>
  <c r="I530" i="9"/>
  <c r="T530" i="9"/>
  <c r="O525" i="9"/>
  <c r="Z525" i="9"/>
  <c r="O529" i="9"/>
  <c r="Z529" i="9"/>
  <c r="M526" i="9"/>
  <c r="X526" i="9"/>
  <c r="J515" i="9"/>
  <c r="U515" i="9"/>
  <c r="M519" i="9"/>
  <c r="X519" i="9"/>
  <c r="L525" i="9"/>
  <c r="W525" i="9"/>
  <c r="J530" i="9"/>
  <c r="U530" i="9"/>
  <c r="N518" i="9"/>
  <c r="Y518" i="9"/>
  <c r="L524" i="9"/>
  <c r="W524" i="9"/>
  <c r="O528" i="9"/>
  <c r="Z528" i="9"/>
  <c r="K520" i="9"/>
  <c r="V520" i="9"/>
  <c r="L530" i="9"/>
  <c r="W530" i="9"/>
  <c r="N523" i="9"/>
  <c r="Y523" i="9"/>
  <c r="N516" i="9"/>
  <c r="Y516" i="9"/>
  <c r="L529" i="9"/>
  <c r="W529" i="9"/>
  <c r="L527" i="9"/>
  <c r="W527" i="9"/>
  <c r="M524" i="9"/>
  <c r="X524" i="9"/>
  <c r="I522" i="9"/>
  <c r="T522" i="9"/>
  <c r="I524" i="9"/>
  <c r="T524" i="9"/>
  <c r="G517" i="9"/>
  <c r="R517" i="9"/>
  <c r="F516" i="9"/>
  <c r="Q516" i="9"/>
  <c r="N521" i="9"/>
  <c r="Y521" i="9"/>
  <c r="L526" i="9"/>
  <c r="W526" i="9"/>
  <c r="O530" i="9"/>
  <c r="Z530" i="9"/>
  <c r="J520" i="9"/>
  <c r="U520" i="9"/>
  <c r="H525" i="9"/>
  <c r="S525" i="9"/>
  <c r="K530" i="9"/>
  <c r="V530" i="9"/>
  <c r="N524" i="9"/>
  <c r="Y524" i="9"/>
  <c r="I515" i="9"/>
  <c r="T515" i="9"/>
  <c r="F526" i="9"/>
  <c r="Q526" i="9"/>
  <c r="F521" i="9"/>
  <c r="Q521" i="9"/>
  <c r="K526" i="9"/>
  <c r="V526" i="9"/>
  <c r="G520" i="9"/>
  <c r="R520" i="9"/>
  <c r="K521" i="9"/>
  <c r="V521" i="9"/>
  <c r="G519" i="9"/>
  <c r="R519" i="9"/>
  <c r="K519" i="9"/>
  <c r="V519" i="9"/>
  <c r="O521" i="9"/>
  <c r="Z521" i="9"/>
  <c r="M527" i="9"/>
  <c r="X527" i="9"/>
  <c r="H516" i="9"/>
  <c r="S516" i="9"/>
  <c r="H523" i="9"/>
  <c r="S523" i="9"/>
  <c r="O515" i="9"/>
  <c r="Z515" i="9"/>
  <c r="F522" i="9"/>
  <c r="Q522" i="9"/>
  <c r="M529" i="9"/>
  <c r="X529" i="9"/>
  <c r="J522" i="9"/>
  <c r="U522" i="9"/>
  <c r="H526" i="9"/>
  <c r="S526" i="9"/>
  <c r="H530" i="9"/>
  <c r="S530" i="9"/>
  <c r="M516" i="9"/>
  <c r="X516" i="9"/>
  <c r="L516" i="9"/>
  <c r="W516" i="9"/>
  <c r="O526" i="9"/>
  <c r="Z526" i="9"/>
  <c r="N530" i="9"/>
  <c r="Y530" i="9"/>
  <c r="O523" i="9"/>
  <c r="Z523" i="9"/>
  <c r="G518" i="9"/>
  <c r="R518" i="9"/>
  <c r="K518" i="9"/>
  <c r="V518" i="9"/>
  <c r="K515" i="9"/>
  <c r="V515" i="9"/>
  <c r="K696" i="9"/>
  <c r="V696" i="9"/>
  <c r="O702" i="9"/>
  <c r="Z702" i="9"/>
  <c r="I695" i="9"/>
  <c r="T695" i="9"/>
  <c r="M701" i="9"/>
  <c r="X701" i="9"/>
  <c r="G696" i="9"/>
  <c r="R696" i="9"/>
  <c r="M697" i="9"/>
  <c r="X697" i="9"/>
  <c r="G702" i="9"/>
  <c r="R702" i="9"/>
  <c r="K700" i="9"/>
  <c r="V700" i="9"/>
  <c r="O700" i="9"/>
  <c r="Z700" i="9"/>
  <c r="H701" i="9"/>
  <c r="S701" i="9"/>
  <c r="N694" i="9"/>
  <c r="Y694" i="9"/>
  <c r="I706" i="9"/>
  <c r="T706" i="9"/>
  <c r="O699" i="9"/>
  <c r="Z699" i="9"/>
  <c r="K693" i="9"/>
  <c r="V693" i="9"/>
  <c r="F703" i="9"/>
  <c r="Q703" i="9"/>
  <c r="L696" i="9"/>
  <c r="W696" i="9"/>
  <c r="L705" i="9"/>
  <c r="W705" i="9"/>
  <c r="H699" i="9"/>
  <c r="S699" i="9"/>
  <c r="N692" i="9"/>
  <c r="Y692" i="9"/>
  <c r="I704" i="9"/>
  <c r="T704" i="9"/>
  <c r="O697" i="9"/>
  <c r="Z697" i="9"/>
  <c r="K691" i="9"/>
  <c r="V691" i="9"/>
  <c r="F701" i="9"/>
  <c r="Q701" i="9"/>
  <c r="L694" i="9"/>
  <c r="W694" i="9"/>
  <c r="F702" i="9"/>
  <c r="Q702" i="9"/>
  <c r="I691" i="9"/>
  <c r="T691" i="9"/>
  <c r="I694" i="9"/>
  <c r="T694" i="9"/>
  <c r="J697" i="9"/>
  <c r="U697" i="9"/>
  <c r="J705" i="9"/>
  <c r="U705" i="9"/>
  <c r="L701" i="9"/>
  <c r="W701" i="9"/>
  <c r="M706" i="9"/>
  <c r="X706" i="9"/>
  <c r="O693" i="9"/>
  <c r="Z693" i="9"/>
  <c r="F697" i="9"/>
  <c r="Q697" i="9"/>
  <c r="J700" i="9"/>
  <c r="U700" i="9"/>
  <c r="I702" i="9"/>
  <c r="T702" i="9"/>
  <c r="N695" i="9"/>
  <c r="Y695" i="9"/>
  <c r="N701" i="9"/>
  <c r="Y701" i="9"/>
  <c r="L698" i="9"/>
  <c r="W698" i="9"/>
  <c r="J695" i="9"/>
  <c r="U695" i="9"/>
  <c r="H692" i="9"/>
  <c r="S692" i="9"/>
  <c r="F691" i="9"/>
  <c r="Q691" i="9"/>
  <c r="M699" i="9"/>
  <c r="X699" i="9"/>
  <c r="M693" i="9"/>
  <c r="X693" i="9"/>
  <c r="I703" i="9"/>
  <c r="T703" i="9"/>
  <c r="K702" i="9"/>
  <c r="V702" i="9"/>
  <c r="O698" i="9"/>
  <c r="Z698" i="9"/>
  <c r="M703" i="9"/>
  <c r="X703" i="9"/>
  <c r="J704" i="9"/>
  <c r="U704" i="9"/>
  <c r="J696" i="9"/>
  <c r="U696" i="9"/>
  <c r="M704" i="9"/>
  <c r="X704" i="9"/>
  <c r="M696" i="9"/>
  <c r="X696" i="9"/>
  <c r="L704" i="9"/>
  <c r="W704" i="9"/>
  <c r="F695" i="9"/>
  <c r="Q695" i="9"/>
  <c r="J702" i="9"/>
  <c r="U702" i="9"/>
  <c r="J694" i="9"/>
  <c r="U694" i="9"/>
  <c r="M702" i="9"/>
  <c r="X702" i="9"/>
  <c r="M694" i="9"/>
  <c r="X694" i="9"/>
  <c r="L702" i="9"/>
  <c r="W702" i="9"/>
  <c r="F693" i="9"/>
  <c r="Q693" i="9"/>
  <c r="L695" i="9"/>
  <c r="W695" i="9"/>
  <c r="K697" i="9"/>
  <c r="V697" i="9"/>
  <c r="H694" i="9"/>
  <c r="S694" i="9"/>
  <c r="L692" i="9"/>
  <c r="W692" i="9"/>
  <c r="F692" i="9"/>
  <c r="Q692" i="9"/>
  <c r="L706" i="9"/>
  <c r="W706" i="9"/>
  <c r="N706" i="9"/>
  <c r="Y706" i="9"/>
  <c r="K705" i="9"/>
  <c r="V705" i="9"/>
  <c r="J706" i="9"/>
  <c r="U706" i="9"/>
  <c r="K692" i="9"/>
  <c r="V692" i="9"/>
  <c r="I692" i="9"/>
  <c r="T692" i="9"/>
  <c r="I693" i="9"/>
  <c r="T693" i="9"/>
  <c r="K704" i="9"/>
  <c r="V704" i="9"/>
  <c r="G700" i="9"/>
  <c r="R700" i="9"/>
  <c r="M705" i="9"/>
  <c r="X705" i="9"/>
  <c r="G694" i="9"/>
  <c r="R694" i="9"/>
  <c r="F706" i="9"/>
  <c r="Q706" i="9"/>
  <c r="H693" i="9"/>
  <c r="S693" i="9"/>
  <c r="K701" i="9"/>
  <c r="V701" i="9"/>
  <c r="H706" i="9"/>
  <c r="S706" i="9"/>
  <c r="J693" i="9"/>
  <c r="U693" i="9"/>
  <c r="L697" i="9"/>
  <c r="W697" i="9"/>
  <c r="O705" i="9"/>
  <c r="Z705" i="9"/>
  <c r="G693" i="9"/>
  <c r="R693" i="9"/>
  <c r="N697" i="9"/>
  <c r="Y697" i="9"/>
  <c r="N698" i="9"/>
  <c r="Y698" i="9"/>
  <c r="G691" i="9"/>
  <c r="R691" i="9"/>
  <c r="G699" i="9"/>
  <c r="R699" i="9"/>
  <c r="H695" i="9"/>
  <c r="S695" i="9"/>
  <c r="J703" i="9"/>
  <c r="U703" i="9"/>
  <c r="H697" i="9"/>
  <c r="S697" i="9"/>
  <c r="H702" i="9"/>
  <c r="S702" i="9"/>
  <c r="K695" i="9"/>
  <c r="V695" i="9"/>
  <c r="O701" i="9"/>
  <c r="Z701" i="9"/>
  <c r="I699" i="9"/>
  <c r="T699" i="9"/>
  <c r="I701" i="9"/>
  <c r="T701" i="9"/>
  <c r="O704" i="9"/>
  <c r="Z704" i="9"/>
  <c r="M695" i="9"/>
  <c r="X695" i="9"/>
  <c r="K694" i="9"/>
  <c r="V694" i="9"/>
  <c r="L691" i="9"/>
  <c r="W691" i="9"/>
  <c r="G695" i="9"/>
  <c r="R695" i="9"/>
  <c r="H698" i="9"/>
  <c r="S698" i="9"/>
  <c r="F696" i="9"/>
  <c r="Q696" i="9"/>
  <c r="K699" i="9"/>
  <c r="V699" i="9"/>
  <c r="J699" i="9"/>
  <c r="U699" i="9"/>
  <c r="J692" i="9"/>
  <c r="U692" i="9"/>
  <c r="L700" i="9"/>
  <c r="W700" i="9"/>
  <c r="J698" i="9"/>
  <c r="U698" i="9"/>
  <c r="H700" i="9"/>
  <c r="S700" i="9"/>
  <c r="O695" i="9"/>
  <c r="Z695" i="9"/>
  <c r="H703" i="9"/>
  <c r="S703" i="9"/>
  <c r="F705" i="9"/>
  <c r="Q705" i="9"/>
  <c r="G706" i="9"/>
  <c r="R706" i="9"/>
  <c r="K706" i="9"/>
  <c r="V706" i="9"/>
  <c r="I705" i="9"/>
  <c r="T705" i="9"/>
  <c r="N702" i="9"/>
  <c r="Y702" i="9"/>
  <c r="G692" i="9"/>
  <c r="R692" i="9"/>
  <c r="O691" i="9"/>
  <c r="Z691" i="9"/>
  <c r="N691" i="9"/>
  <c r="Y691" i="9"/>
  <c r="H691" i="9"/>
  <c r="S691" i="9"/>
  <c r="I696" i="9"/>
  <c r="T696" i="9"/>
  <c r="H696" i="9"/>
  <c r="S696" i="9"/>
  <c r="O703" i="9"/>
  <c r="Z703" i="9"/>
  <c r="O692" i="9"/>
  <c r="Z692" i="9"/>
  <c r="K703" i="9"/>
  <c r="V703" i="9"/>
  <c r="N693" i="9"/>
  <c r="Y693" i="9"/>
  <c r="M692" i="9"/>
  <c r="X692" i="9"/>
  <c r="F700" i="9"/>
  <c r="Q700" i="9"/>
  <c r="O694" i="9"/>
  <c r="Z694" i="9"/>
  <c r="O696" i="9"/>
  <c r="Z696" i="9"/>
  <c r="I697" i="9"/>
  <c r="T697" i="9"/>
  <c r="L699" i="9"/>
  <c r="W699" i="9"/>
  <c r="G703" i="9"/>
  <c r="R703" i="9"/>
  <c r="J701" i="9"/>
  <c r="U701" i="9"/>
  <c r="F704" i="9"/>
  <c r="Q704" i="9"/>
  <c r="M691" i="9"/>
  <c r="X691" i="9"/>
  <c r="N705" i="9"/>
  <c r="Y705" i="9"/>
  <c r="J691" i="9"/>
  <c r="U691" i="9"/>
  <c r="M700" i="9"/>
  <c r="X700" i="9"/>
  <c r="F699" i="9"/>
  <c r="Q699" i="9"/>
  <c r="I700" i="9"/>
  <c r="T700" i="9"/>
  <c r="L703" i="9"/>
  <c r="W703" i="9"/>
  <c r="L693" i="9"/>
  <c r="W693" i="9"/>
  <c r="G705" i="9"/>
  <c r="R705" i="9"/>
  <c r="O706" i="9"/>
  <c r="Z706" i="9"/>
  <c r="N700" i="9"/>
  <c r="Y700" i="9"/>
  <c r="N703" i="9"/>
  <c r="Y703" i="9"/>
  <c r="M698" i="9"/>
  <c r="X698" i="9"/>
  <c r="G704" i="9"/>
  <c r="R704" i="9"/>
  <c r="N699" i="9"/>
  <c r="Y699" i="9"/>
  <c r="H705" i="9"/>
  <c r="S705" i="9"/>
  <c r="F694" i="9"/>
  <c r="Q694" i="9"/>
  <c r="G698" i="9"/>
  <c r="R698" i="9"/>
  <c r="F698" i="9"/>
  <c r="Q698" i="9"/>
  <c r="G701" i="9"/>
  <c r="R701" i="9"/>
  <c r="N704" i="9"/>
  <c r="Y704" i="9"/>
  <c r="N696" i="9"/>
  <c r="Y696" i="9"/>
  <c r="K698" i="9"/>
  <c r="V698" i="9"/>
  <c r="I698" i="9"/>
  <c r="T698" i="9"/>
  <c r="H704" i="9"/>
  <c r="S704" i="9"/>
  <c r="G697" i="9"/>
  <c r="R697" i="9"/>
  <c r="G980" i="9"/>
  <c r="R980" i="9"/>
  <c r="L989" i="9"/>
  <c r="W989" i="9"/>
  <c r="H983" i="9"/>
  <c r="S983" i="9"/>
  <c r="O991" i="9"/>
  <c r="Z991" i="9"/>
  <c r="L991" i="9"/>
  <c r="W991" i="9"/>
  <c r="G993" i="9"/>
  <c r="R993" i="9"/>
  <c r="M980" i="9"/>
  <c r="X980" i="9"/>
  <c r="F991" i="9"/>
  <c r="Q991" i="9"/>
  <c r="F981" i="9"/>
  <c r="Q981" i="9"/>
  <c r="H988" i="9"/>
  <c r="S988" i="9"/>
  <c r="O982" i="9"/>
  <c r="Z982" i="9"/>
  <c r="F988" i="9"/>
  <c r="Q988" i="9"/>
  <c r="G981" i="9"/>
  <c r="R981" i="9"/>
  <c r="I990" i="9"/>
  <c r="T990" i="9"/>
  <c r="J988" i="9"/>
  <c r="U988" i="9"/>
  <c r="O989" i="9"/>
  <c r="Z989" i="9"/>
  <c r="O988" i="9"/>
  <c r="Z988" i="9"/>
  <c r="I989" i="9"/>
  <c r="T989" i="9"/>
  <c r="N985" i="9"/>
  <c r="Y985" i="9"/>
  <c r="J983" i="9"/>
  <c r="U983" i="9"/>
  <c r="K983" i="9"/>
  <c r="V983" i="9"/>
  <c r="K988" i="9"/>
  <c r="V988" i="9"/>
  <c r="M981" i="9"/>
  <c r="X981" i="9"/>
  <c r="N990" i="9"/>
  <c r="Y990" i="9"/>
  <c r="K989" i="9"/>
  <c r="V989" i="9"/>
  <c r="O990" i="9"/>
  <c r="Z990" i="9"/>
  <c r="G991" i="9"/>
  <c r="R991" i="9"/>
  <c r="H994" i="9"/>
  <c r="S994" i="9"/>
  <c r="H984" i="9"/>
  <c r="S984" i="9"/>
  <c r="H980" i="9"/>
  <c r="S980" i="9"/>
  <c r="K979" i="9"/>
  <c r="V979" i="9"/>
  <c r="G989" i="9"/>
  <c r="R989" i="9"/>
  <c r="K982" i="9"/>
  <c r="V982" i="9"/>
  <c r="I991" i="9"/>
  <c r="T991" i="9"/>
  <c r="K990" i="9"/>
  <c r="V990" i="9"/>
  <c r="F992" i="9"/>
  <c r="Q992" i="9"/>
  <c r="H993" i="9"/>
  <c r="S993" i="9"/>
  <c r="L992" i="9"/>
  <c r="W992" i="9"/>
  <c r="L982" i="9"/>
  <c r="W982" i="9"/>
  <c r="J985" i="9"/>
  <c r="U985" i="9"/>
  <c r="J982" i="9"/>
  <c r="U982" i="9"/>
  <c r="K987" i="9"/>
  <c r="V987" i="9"/>
  <c r="J980" i="9"/>
  <c r="U980" i="9"/>
  <c r="M989" i="9"/>
  <c r="X989" i="9"/>
  <c r="I987" i="9"/>
  <c r="T987" i="9"/>
  <c r="N988" i="9"/>
  <c r="Y988" i="9"/>
  <c r="N986" i="9"/>
  <c r="Y986" i="9"/>
  <c r="O979" i="9"/>
  <c r="Z979" i="9"/>
  <c r="J987" i="9"/>
  <c r="U987" i="9"/>
  <c r="L986" i="9"/>
  <c r="W986" i="9"/>
  <c r="N980" i="9"/>
  <c r="Y980" i="9"/>
  <c r="O985" i="9"/>
  <c r="Z985" i="9"/>
  <c r="J994" i="9"/>
  <c r="U994" i="9"/>
  <c r="G988" i="9"/>
  <c r="R988" i="9"/>
  <c r="G984" i="9"/>
  <c r="R984" i="9"/>
  <c r="L985" i="9"/>
  <c r="W985" i="9"/>
  <c r="I979" i="9"/>
  <c r="T979" i="9"/>
  <c r="K991" i="9"/>
  <c r="V991" i="9"/>
  <c r="H992" i="9"/>
  <c r="S992" i="9"/>
  <c r="H982" i="9"/>
  <c r="S982" i="9"/>
  <c r="I981" i="9"/>
  <c r="T981" i="9"/>
  <c r="J986" i="9"/>
  <c r="U986" i="9"/>
  <c r="O994" i="9"/>
  <c r="Z994" i="9"/>
  <c r="M988" i="9"/>
  <c r="X988" i="9"/>
  <c r="H985" i="9"/>
  <c r="S985" i="9"/>
  <c r="M986" i="9"/>
  <c r="X986" i="9"/>
  <c r="G982" i="9"/>
  <c r="R982" i="9"/>
  <c r="L983" i="9"/>
  <c r="W983" i="9"/>
  <c r="L990" i="9"/>
  <c r="W990" i="9"/>
  <c r="F993" i="9"/>
  <c r="Q993" i="9"/>
  <c r="O981" i="9"/>
  <c r="Z981" i="9"/>
  <c r="O986" i="9"/>
  <c r="Z986" i="9"/>
  <c r="L979" i="9"/>
  <c r="W979" i="9"/>
  <c r="H989" i="9"/>
  <c r="S989" i="9"/>
  <c r="I986" i="9"/>
  <c r="T986" i="9"/>
  <c r="M987" i="9"/>
  <c r="X987" i="9"/>
  <c r="M984" i="9"/>
  <c r="X984" i="9"/>
  <c r="G992" i="9"/>
  <c r="R992" i="9"/>
  <c r="F989" i="9"/>
  <c r="Q989" i="9"/>
  <c r="N989" i="9"/>
  <c r="Y989" i="9"/>
  <c r="M991" i="9"/>
  <c r="X991" i="9"/>
  <c r="F994" i="9"/>
  <c r="Q994" i="9"/>
  <c r="G986" i="9"/>
  <c r="R986" i="9"/>
  <c r="L984" i="9"/>
  <c r="W984" i="9"/>
  <c r="J991" i="9"/>
  <c r="U991" i="9"/>
  <c r="G990" i="9"/>
  <c r="R990" i="9"/>
  <c r="J992" i="9"/>
  <c r="U992" i="9"/>
  <c r="G994" i="9"/>
  <c r="R994" i="9"/>
  <c r="J989" i="9"/>
  <c r="U989" i="9"/>
  <c r="F985" i="9"/>
  <c r="Q985" i="9"/>
  <c r="M990" i="9"/>
  <c r="X990" i="9"/>
  <c r="O992" i="9"/>
  <c r="Z992" i="9"/>
  <c r="H981" i="9"/>
  <c r="S981" i="9"/>
  <c r="N987" i="9"/>
  <c r="Y987" i="9"/>
  <c r="L994" i="9"/>
  <c r="W994" i="9"/>
  <c r="H991" i="9"/>
  <c r="S991" i="9"/>
  <c r="K993" i="9"/>
  <c r="V993" i="9"/>
  <c r="F984" i="9"/>
  <c r="Q984" i="9"/>
  <c r="H986" i="9"/>
  <c r="S986" i="9"/>
  <c r="N981" i="9"/>
  <c r="Y981" i="9"/>
  <c r="I980" i="9"/>
  <c r="T980" i="9"/>
  <c r="O993" i="9"/>
  <c r="Z993" i="9"/>
  <c r="N982" i="9"/>
  <c r="Y982" i="9"/>
  <c r="M994" i="9"/>
  <c r="X994" i="9"/>
  <c r="N993" i="9"/>
  <c r="Y993" i="9"/>
  <c r="F979" i="9"/>
  <c r="Q979" i="9"/>
  <c r="I992" i="9"/>
  <c r="T992" i="9"/>
  <c r="K994" i="9"/>
  <c r="V994" i="9"/>
  <c r="I988" i="9"/>
  <c r="T988" i="9"/>
  <c r="F983" i="9"/>
  <c r="Q983" i="9"/>
  <c r="H979" i="9"/>
  <c r="S979" i="9"/>
  <c r="N992" i="9"/>
  <c r="Y992" i="9"/>
  <c r="F980" i="9"/>
  <c r="Q980" i="9"/>
  <c r="J990" i="9"/>
  <c r="U990" i="9"/>
  <c r="J981" i="9"/>
  <c r="U981" i="9"/>
  <c r="M979" i="9"/>
  <c r="X979" i="9"/>
  <c r="I993" i="9"/>
  <c r="T993" i="9"/>
  <c r="K981" i="9"/>
  <c r="V981" i="9"/>
  <c r="K992" i="9"/>
  <c r="V992" i="9"/>
  <c r="N979" i="9"/>
  <c r="Y979" i="9"/>
  <c r="K985" i="9"/>
  <c r="V985" i="9"/>
  <c r="O987" i="9"/>
  <c r="Z987" i="9"/>
  <c r="O980" i="9"/>
  <c r="Z980" i="9"/>
  <c r="M992" i="9"/>
  <c r="X992" i="9"/>
  <c r="J979" i="9"/>
  <c r="U979" i="9"/>
  <c r="J984" i="9"/>
  <c r="U984" i="9"/>
  <c r="F990" i="9"/>
  <c r="Q990" i="9"/>
  <c r="I982" i="9"/>
  <c r="T982" i="9"/>
  <c r="N994" i="9"/>
  <c r="Y994" i="9"/>
  <c r="H990" i="9"/>
  <c r="S990" i="9"/>
  <c r="L987" i="9"/>
  <c r="W987" i="9"/>
  <c r="H987" i="9"/>
  <c r="S987" i="9"/>
  <c r="M983" i="9"/>
  <c r="X983" i="9"/>
  <c r="K980" i="9"/>
  <c r="V980" i="9"/>
  <c r="N983" i="9"/>
  <c r="Y983" i="9"/>
  <c r="K986" i="9"/>
  <c r="V986" i="9"/>
  <c r="L993" i="9"/>
  <c r="W993" i="9"/>
  <c r="N984" i="9"/>
  <c r="Y984" i="9"/>
  <c r="I983" i="9"/>
  <c r="T983" i="9"/>
  <c r="N991" i="9"/>
  <c r="Y991" i="9"/>
  <c r="G983" i="9"/>
  <c r="R983" i="9"/>
  <c r="G979" i="9"/>
  <c r="R979" i="9"/>
  <c r="F987" i="9"/>
  <c r="Q987" i="9"/>
  <c r="O983" i="9"/>
  <c r="Z983" i="9"/>
  <c r="M985" i="9"/>
  <c r="X985" i="9"/>
  <c r="L981" i="9"/>
  <c r="W981" i="9"/>
  <c r="M993" i="9"/>
  <c r="X993" i="9"/>
  <c r="J993" i="9"/>
  <c r="U993" i="9"/>
  <c r="O984" i="9"/>
  <c r="Z984" i="9"/>
  <c r="I994" i="9"/>
  <c r="T994" i="9"/>
  <c r="I985" i="9"/>
  <c r="T985" i="9"/>
  <c r="K984" i="9"/>
  <c r="V984" i="9"/>
  <c r="L988" i="9"/>
  <c r="W988" i="9"/>
  <c r="F986" i="9"/>
  <c r="Q986" i="9"/>
  <c r="G985" i="9"/>
  <c r="R985" i="9"/>
  <c r="I984" i="9"/>
  <c r="T984" i="9"/>
  <c r="F982" i="9"/>
  <c r="Q982" i="9"/>
  <c r="L980" i="9"/>
  <c r="W980" i="9"/>
  <c r="G987" i="9"/>
  <c r="R987" i="9"/>
  <c r="M982" i="9"/>
  <c r="X982" i="9"/>
  <c r="P45" i="9"/>
  <c r="P47" i="9"/>
  <c r="P36" i="9"/>
  <c r="P38" i="9"/>
  <c r="P42" i="9"/>
  <c r="G1027" i="9"/>
  <c r="R1027" i="9"/>
  <c r="N1028" i="9"/>
  <c r="Y1028" i="9"/>
  <c r="O1030" i="9"/>
  <c r="Z1030" i="9"/>
  <c r="F1033" i="9"/>
  <c r="Q1033" i="9"/>
  <c r="H1035" i="9"/>
  <c r="S1035" i="9"/>
  <c r="I1037" i="9"/>
  <c r="T1037" i="9"/>
  <c r="J1039" i="9"/>
  <c r="U1039" i="9"/>
  <c r="L1041" i="9"/>
  <c r="W1041" i="9"/>
  <c r="J1028" i="9"/>
  <c r="U1028" i="9"/>
  <c r="H1031" i="9"/>
  <c r="S1031" i="9"/>
  <c r="F1034" i="9"/>
  <c r="Q1034" i="9"/>
  <c r="O1036" i="9"/>
  <c r="Z1036" i="9"/>
  <c r="M1039" i="9"/>
  <c r="X1039" i="9"/>
  <c r="K1042" i="9"/>
  <c r="V1042" i="9"/>
  <c r="H1029" i="9"/>
  <c r="S1029" i="9"/>
  <c r="G1032" i="9"/>
  <c r="R1032" i="9"/>
  <c r="O1034" i="9"/>
  <c r="Z1034" i="9"/>
  <c r="M1037" i="9"/>
  <c r="X1037" i="9"/>
  <c r="L1040" i="9"/>
  <c r="W1040" i="9"/>
  <c r="I1027" i="9"/>
  <c r="T1027" i="9"/>
  <c r="O1032" i="9"/>
  <c r="Z1032" i="9"/>
  <c r="L1038" i="9"/>
  <c r="W1038" i="9"/>
  <c r="J1027" i="9"/>
  <c r="U1027" i="9"/>
  <c r="H1033" i="9"/>
  <c r="S1033" i="9"/>
  <c r="N1038" i="9"/>
  <c r="Y1038" i="9"/>
  <c r="N1030" i="9"/>
  <c r="Y1030" i="9"/>
  <c r="H1042" i="9"/>
  <c r="S1042" i="9"/>
  <c r="L1036" i="9"/>
  <c r="W1036" i="9"/>
  <c r="F1038" i="9"/>
  <c r="Q1038" i="9"/>
  <c r="N1040" i="9"/>
  <c r="Y1040" i="9"/>
  <c r="F1035" i="9"/>
  <c r="Q1035" i="9"/>
  <c r="M1036" i="9"/>
  <c r="X1036" i="9"/>
  <c r="I1030" i="9"/>
  <c r="T1030" i="9"/>
  <c r="K1039" i="9"/>
  <c r="V1039" i="9"/>
  <c r="G1033" i="9"/>
  <c r="R1033" i="9"/>
  <c r="M1040" i="9"/>
  <c r="X1040" i="9"/>
  <c r="O1027" i="9"/>
  <c r="Z1027" i="9"/>
  <c r="G1037" i="9"/>
  <c r="R1037" i="9"/>
  <c r="I1042" i="9"/>
  <c r="T1042" i="9"/>
  <c r="K1035" i="9"/>
  <c r="V1035" i="9"/>
  <c r="M1027" i="9"/>
  <c r="X1027" i="9"/>
  <c r="J1030" i="9"/>
  <c r="U1030" i="9"/>
  <c r="L1033" i="9"/>
  <c r="W1033" i="9"/>
  <c r="H1036" i="9"/>
  <c r="S1036" i="9"/>
  <c r="O1038" i="9"/>
  <c r="Z1038" i="9"/>
  <c r="G1042" i="9"/>
  <c r="R1042" i="9"/>
  <c r="M1029" i="9"/>
  <c r="X1029" i="9"/>
  <c r="I1033" i="9"/>
  <c r="T1033" i="9"/>
  <c r="L1037" i="9"/>
  <c r="W1037" i="9"/>
  <c r="H1041" i="9"/>
  <c r="S1041" i="9"/>
  <c r="K1028" i="9"/>
  <c r="V1028" i="9"/>
  <c r="N1032" i="9"/>
  <c r="Y1032" i="9"/>
  <c r="J1036" i="9"/>
  <c r="U1036" i="9"/>
  <c r="N1039" i="9"/>
  <c r="Y1039" i="9"/>
  <c r="L1028" i="9"/>
  <c r="W1028" i="9"/>
  <c r="N1035" i="9"/>
  <c r="Y1035" i="9"/>
  <c r="O1042" i="9"/>
  <c r="Z1042" i="9"/>
  <c r="K1034" i="9"/>
  <c r="V1034" i="9"/>
  <c r="M1041" i="9"/>
  <c r="X1041" i="9"/>
  <c r="I1039" i="9"/>
  <c r="T1039" i="9"/>
  <c r="L1039" i="9"/>
  <c r="W1039" i="9"/>
  <c r="G1038" i="9"/>
  <c r="R1038" i="9"/>
  <c r="O1040" i="9"/>
  <c r="Z1040" i="9"/>
  <c r="G1035" i="9"/>
  <c r="R1035" i="9"/>
  <c r="M1042" i="9"/>
  <c r="X1042" i="9"/>
  <c r="M1034" i="9"/>
  <c r="X1034" i="9"/>
  <c r="K1037" i="9"/>
  <c r="V1037" i="9"/>
  <c r="M1032" i="9"/>
  <c r="X1032" i="9"/>
  <c r="K1027" i="9"/>
  <c r="V1027" i="9"/>
  <c r="I1032" i="9"/>
  <c r="T1032" i="9"/>
  <c r="N1029" i="9"/>
  <c r="Y1029" i="9"/>
  <c r="G1034" i="9"/>
  <c r="R1034" i="9"/>
  <c r="N1037" i="9"/>
  <c r="Y1037" i="9"/>
  <c r="F1041" i="9"/>
  <c r="Q1041" i="9"/>
  <c r="K1030" i="9"/>
  <c r="V1030" i="9"/>
  <c r="J1035" i="9"/>
  <c r="U1035" i="9"/>
  <c r="J1040" i="9"/>
  <c r="U1040" i="9"/>
  <c r="F1030" i="9"/>
  <c r="Q1030" i="9"/>
  <c r="H1034" i="9"/>
  <c r="S1034" i="9"/>
  <c r="H1039" i="9"/>
  <c r="S1039" i="9"/>
  <c r="G1030" i="9"/>
  <c r="R1030" i="9"/>
  <c r="G1040" i="9"/>
  <c r="R1040" i="9"/>
  <c r="M1031" i="9"/>
  <c r="X1031" i="9"/>
  <c r="F1028" i="9"/>
  <c r="Q1028" i="9"/>
  <c r="F1031" i="9"/>
  <c r="Q1031" i="9"/>
  <c r="J1032" i="9"/>
  <c r="U1032" i="9"/>
  <c r="K1041" i="9"/>
  <c r="V1041" i="9"/>
  <c r="O1031" i="9"/>
  <c r="Z1031" i="9"/>
  <c r="I1036" i="9"/>
  <c r="T1036" i="9"/>
  <c r="I1034" i="9"/>
  <c r="T1034" i="9"/>
  <c r="O1033" i="9"/>
  <c r="Z1033" i="9"/>
  <c r="M1038" i="9"/>
  <c r="X1038" i="9"/>
  <c r="J1031" i="9"/>
  <c r="U1031" i="9"/>
  <c r="M1035" i="9"/>
  <c r="X1035" i="9"/>
  <c r="K1040" i="9"/>
  <c r="V1040" i="9"/>
  <c r="N1031" i="9"/>
  <c r="Y1031" i="9"/>
  <c r="I1029" i="9"/>
  <c r="T1029" i="9"/>
  <c r="L1034" i="9"/>
  <c r="W1034" i="9"/>
  <c r="F1040" i="9"/>
  <c r="Q1040" i="9"/>
  <c r="F1029" i="9"/>
  <c r="Q1029" i="9"/>
  <c r="G1036" i="9"/>
  <c r="R1036" i="9"/>
  <c r="F1027" i="9"/>
  <c r="Q1027" i="9"/>
  <c r="J1033" i="9"/>
  <c r="U1033" i="9"/>
  <c r="I1041" i="9"/>
  <c r="T1041" i="9"/>
  <c r="J1034" i="9"/>
  <c r="U1034" i="9"/>
  <c r="H1030" i="9"/>
  <c r="S1030" i="9"/>
  <c r="M1033" i="9"/>
  <c r="X1033" i="9"/>
  <c r="J1042" i="9"/>
  <c r="U1042" i="9"/>
  <c r="L1029" i="9"/>
  <c r="W1029" i="9"/>
  <c r="M1028" i="9"/>
  <c r="X1028" i="9"/>
  <c r="O1029" i="9"/>
  <c r="Z1029" i="9"/>
  <c r="I1040" i="9"/>
  <c r="T1040" i="9"/>
  <c r="O1041" i="9"/>
  <c r="Z1041" i="9"/>
  <c r="K1032" i="9"/>
  <c r="V1032" i="9"/>
  <c r="L1027" i="9"/>
  <c r="W1027" i="9"/>
  <c r="F1039" i="9"/>
  <c r="Q1039" i="9"/>
  <c r="I1031" i="9"/>
  <c r="T1031" i="9"/>
  <c r="F1042" i="9"/>
  <c r="Q1042" i="9"/>
  <c r="J1041" i="9"/>
  <c r="U1041" i="9"/>
  <c r="H1040" i="9"/>
  <c r="S1040" i="9"/>
  <c r="H1032" i="9"/>
  <c r="S1032" i="9"/>
  <c r="I1038" i="9"/>
  <c r="T1038" i="9"/>
  <c r="K1031" i="9"/>
  <c r="V1031" i="9"/>
  <c r="M1030" i="9"/>
  <c r="X1030" i="9"/>
  <c r="H1027" i="9"/>
  <c r="S1027" i="9"/>
  <c r="N1036" i="9"/>
  <c r="Y1036" i="9"/>
  <c r="L1032" i="9"/>
  <c r="W1032" i="9"/>
  <c r="N1041" i="9"/>
  <c r="Y1041" i="9"/>
  <c r="L1035" i="9"/>
  <c r="W1035" i="9"/>
  <c r="N1042" i="9"/>
  <c r="Y1042" i="9"/>
  <c r="O1028" i="9"/>
  <c r="Z1028" i="9"/>
  <c r="K1036" i="9"/>
  <c r="V1036" i="9"/>
  <c r="J1029" i="9"/>
  <c r="U1029" i="9"/>
  <c r="K1033" i="9"/>
  <c r="V1033" i="9"/>
  <c r="I1028" i="9"/>
  <c r="T1028" i="9"/>
  <c r="O1035" i="9"/>
  <c r="Z1035" i="9"/>
  <c r="H1028" i="9"/>
  <c r="S1028" i="9"/>
  <c r="J1038" i="9"/>
  <c r="U1038" i="9"/>
  <c r="N1034" i="9"/>
  <c r="Y1034" i="9"/>
  <c r="N1027" i="9"/>
  <c r="Y1027" i="9"/>
  <c r="F1037" i="9"/>
  <c r="Q1037" i="9"/>
  <c r="L1031" i="9"/>
  <c r="W1031" i="9"/>
  <c r="F1036" i="9"/>
  <c r="Q1036" i="9"/>
  <c r="G1028" i="9"/>
  <c r="R1028" i="9"/>
  <c r="I1035" i="9"/>
  <c r="T1035" i="9"/>
  <c r="G1041" i="9"/>
  <c r="R1041" i="9"/>
  <c r="G1031" i="9"/>
  <c r="R1031" i="9"/>
  <c r="K1029" i="9"/>
  <c r="V1029" i="9"/>
  <c r="F1032" i="9"/>
  <c r="Q1032" i="9"/>
  <c r="K1038" i="9"/>
  <c r="V1038" i="9"/>
  <c r="O1039" i="9"/>
  <c r="Z1039" i="9"/>
  <c r="L1030" i="9"/>
  <c r="W1030" i="9"/>
  <c r="N1033" i="9"/>
  <c r="Y1033" i="9"/>
  <c r="G1029" i="9"/>
  <c r="R1029" i="9"/>
  <c r="L1042" i="9"/>
  <c r="W1042" i="9"/>
  <c r="H1037" i="9"/>
  <c r="S1037" i="9"/>
  <c r="O1037" i="9"/>
  <c r="Z1037" i="9"/>
  <c r="H1038" i="9"/>
  <c r="S1038" i="9"/>
  <c r="J1037" i="9"/>
  <c r="U1037" i="9"/>
  <c r="G1039" i="9"/>
  <c r="R1039" i="9"/>
  <c r="L536" i="9"/>
  <c r="W536" i="9"/>
  <c r="F543" i="9"/>
  <c r="Q543" i="9"/>
  <c r="J535" i="9"/>
  <c r="U535" i="9"/>
  <c r="N541" i="9"/>
  <c r="Y541" i="9"/>
  <c r="N535" i="9"/>
  <c r="Y535" i="9"/>
  <c r="L540" i="9"/>
  <c r="W540" i="9"/>
  <c r="L542" i="9"/>
  <c r="W542" i="9"/>
  <c r="N543" i="9"/>
  <c r="Y543" i="9"/>
  <c r="H544" i="9"/>
  <c r="S544" i="9"/>
  <c r="L541" i="9"/>
  <c r="W541" i="9"/>
  <c r="H535" i="9"/>
  <c r="S535" i="9"/>
  <c r="O546" i="9"/>
  <c r="Z546" i="9"/>
  <c r="K540" i="9"/>
  <c r="V540" i="9"/>
  <c r="G534" i="9"/>
  <c r="R534" i="9"/>
  <c r="K543" i="9"/>
  <c r="V543" i="9"/>
  <c r="G537" i="9"/>
  <c r="R537" i="9"/>
  <c r="J542" i="9"/>
  <c r="U542" i="9"/>
  <c r="I541" i="9"/>
  <c r="T541" i="9"/>
  <c r="I544" i="9"/>
  <c r="T544" i="9"/>
  <c r="M534" i="9"/>
  <c r="X534" i="9"/>
  <c r="N542" i="9"/>
  <c r="Y542" i="9"/>
  <c r="J536" i="9"/>
  <c r="U536" i="9"/>
  <c r="N531" i="9"/>
  <c r="Y531" i="9"/>
  <c r="M541" i="9"/>
  <c r="X541" i="9"/>
  <c r="I535" i="9"/>
  <c r="T535" i="9"/>
  <c r="M544" i="9"/>
  <c r="X544" i="9"/>
  <c r="I538" i="9"/>
  <c r="T538" i="9"/>
  <c r="O531" i="9"/>
  <c r="Z531" i="9"/>
  <c r="H539" i="9"/>
  <c r="S539" i="9"/>
  <c r="J531" i="9"/>
  <c r="U531" i="9"/>
  <c r="K536" i="9"/>
  <c r="V536" i="9"/>
  <c r="O537" i="9"/>
  <c r="Z537" i="9"/>
  <c r="J532" i="9"/>
  <c r="U532" i="9"/>
  <c r="M540" i="9"/>
  <c r="X540" i="9"/>
  <c r="J540" i="9"/>
  <c r="U540" i="9"/>
  <c r="L543" i="9"/>
  <c r="W543" i="9"/>
  <c r="G536" i="9"/>
  <c r="R536" i="9"/>
  <c r="F542" i="9"/>
  <c r="Q542" i="9"/>
  <c r="K537" i="9"/>
  <c r="V537" i="9"/>
  <c r="I542" i="9"/>
  <c r="T542" i="9"/>
  <c r="G531" i="9"/>
  <c r="R531" i="9"/>
  <c r="N539" i="9"/>
  <c r="Y539" i="9"/>
  <c r="N533" i="9"/>
  <c r="Y533" i="9"/>
  <c r="J543" i="9"/>
  <c r="U543" i="9"/>
  <c r="H542" i="9"/>
  <c r="S542" i="9"/>
  <c r="J539" i="9"/>
  <c r="U539" i="9"/>
  <c r="L534" i="9"/>
  <c r="W534" i="9"/>
  <c r="N544" i="9"/>
  <c r="Y544" i="9"/>
  <c r="N536" i="9"/>
  <c r="Y536" i="9"/>
  <c r="I545" i="9"/>
  <c r="T545" i="9"/>
  <c r="I537" i="9"/>
  <c r="T537" i="9"/>
  <c r="G545" i="9"/>
  <c r="R545" i="9"/>
  <c r="K535" i="9"/>
  <c r="V535" i="9"/>
  <c r="N532" i="9"/>
  <c r="Y532" i="9"/>
  <c r="M531" i="9"/>
  <c r="X531" i="9"/>
  <c r="K531" i="9"/>
  <c r="V531" i="9"/>
  <c r="L539" i="9"/>
  <c r="W539" i="9"/>
  <c r="L531" i="9"/>
  <c r="W531" i="9"/>
  <c r="G540" i="9"/>
  <c r="R540" i="9"/>
  <c r="G532" i="9"/>
  <c r="R532" i="9"/>
  <c r="O539" i="9"/>
  <c r="Z539" i="9"/>
  <c r="L545" i="9"/>
  <c r="W545" i="9"/>
  <c r="J534" i="9"/>
  <c r="U534" i="9"/>
  <c r="M539" i="9"/>
  <c r="X539" i="9"/>
  <c r="G533" i="9"/>
  <c r="R533" i="9"/>
  <c r="M537" i="9"/>
  <c r="X537" i="9"/>
  <c r="O543" i="9"/>
  <c r="Z543" i="9"/>
  <c r="H537" i="9"/>
  <c r="S537" i="9"/>
  <c r="G539" i="9"/>
  <c r="R539" i="9"/>
  <c r="K534" i="9"/>
  <c r="V534" i="9"/>
  <c r="H538" i="9"/>
  <c r="S538" i="9"/>
  <c r="F537" i="9"/>
  <c r="Q537" i="9"/>
  <c r="L546" i="9"/>
  <c r="W546" i="9"/>
  <c r="H536" i="9"/>
  <c r="S536" i="9"/>
  <c r="N537" i="9"/>
  <c r="Y537" i="9"/>
  <c r="F540" i="9"/>
  <c r="Q540" i="9"/>
  <c r="H532" i="9"/>
  <c r="S532" i="9"/>
  <c r="M535" i="9"/>
  <c r="X535" i="9"/>
  <c r="I540" i="9"/>
  <c r="T540" i="9"/>
  <c r="L537" i="9"/>
  <c r="W537" i="9"/>
  <c r="M542" i="9"/>
  <c r="X542" i="9"/>
  <c r="J544" i="9"/>
  <c r="U544" i="9"/>
  <c r="H533" i="9"/>
  <c r="S533" i="9"/>
  <c r="K538" i="9"/>
  <c r="V538" i="9"/>
  <c r="G543" i="9"/>
  <c r="R543" i="9"/>
  <c r="K533" i="9"/>
  <c r="V533" i="9"/>
  <c r="H531" i="9"/>
  <c r="S531" i="9"/>
  <c r="O545" i="9"/>
  <c r="Z545" i="9"/>
  <c r="G544" i="9"/>
  <c r="R544" i="9"/>
  <c r="M545" i="9"/>
  <c r="X545" i="9"/>
  <c r="K542" i="9"/>
  <c r="V542" i="9"/>
  <c r="O540" i="9"/>
  <c r="Z540" i="9"/>
  <c r="J533" i="9"/>
  <c r="U533" i="9"/>
  <c r="F539" i="9"/>
  <c r="Q539" i="9"/>
  <c r="H543" i="9"/>
  <c r="S543" i="9"/>
  <c r="M546" i="9"/>
  <c r="X546" i="9"/>
  <c r="K539" i="9"/>
  <c r="V539" i="9"/>
  <c r="K541" i="9"/>
  <c r="V541" i="9"/>
  <c r="I533" i="9"/>
  <c r="T533" i="9"/>
  <c r="O535" i="9"/>
  <c r="Z535" i="9"/>
  <c r="J541" i="9"/>
  <c r="U541" i="9"/>
  <c r="H540" i="9"/>
  <c r="S540" i="9"/>
  <c r="F533" i="9"/>
  <c r="Q533" i="9"/>
  <c r="F541" i="9"/>
  <c r="Q541" i="9"/>
  <c r="L533" i="9"/>
  <c r="W533" i="9"/>
  <c r="O538" i="9"/>
  <c r="Z538" i="9"/>
  <c r="M538" i="9"/>
  <c r="X538" i="9"/>
  <c r="G538" i="9"/>
  <c r="R538" i="9"/>
  <c r="F546" i="9"/>
  <c r="Q546" i="9"/>
  <c r="K546" i="9"/>
  <c r="V546" i="9"/>
  <c r="M533" i="9"/>
  <c r="X533" i="9"/>
  <c r="G535" i="9"/>
  <c r="R535" i="9"/>
  <c r="K544" i="9"/>
  <c r="V544" i="9"/>
  <c r="H545" i="9"/>
  <c r="S545" i="9"/>
  <c r="L535" i="9"/>
  <c r="W535" i="9"/>
  <c r="K545" i="9"/>
  <c r="V545" i="9"/>
  <c r="F534" i="9"/>
  <c r="Q534" i="9"/>
  <c r="L544" i="9"/>
  <c r="W544" i="9"/>
  <c r="F545" i="9"/>
  <c r="Q545" i="9"/>
  <c r="N545" i="9"/>
  <c r="Y545" i="9"/>
  <c r="J546" i="9"/>
  <c r="U546" i="9"/>
  <c r="F532" i="9"/>
  <c r="Q532" i="9"/>
  <c r="K532" i="9"/>
  <c r="V532" i="9"/>
  <c r="O533" i="9"/>
  <c r="Z533" i="9"/>
  <c r="O534" i="9"/>
  <c r="Z534" i="9"/>
  <c r="H541" i="9"/>
  <c r="S541" i="9"/>
  <c r="O544" i="9"/>
  <c r="Z544" i="9"/>
  <c r="I546" i="9"/>
  <c r="T546" i="9"/>
  <c r="F544" i="9"/>
  <c r="Q544" i="9"/>
  <c r="O542" i="9"/>
  <c r="Z542" i="9"/>
  <c r="N538" i="9"/>
  <c r="Y538" i="9"/>
  <c r="O532" i="9"/>
  <c r="Z532" i="9"/>
  <c r="M532" i="9"/>
  <c r="X532" i="9"/>
  <c r="I539" i="9"/>
  <c r="T539" i="9"/>
  <c r="H546" i="9"/>
  <c r="S546" i="9"/>
  <c r="H534" i="9"/>
  <c r="S534" i="9"/>
  <c r="M543" i="9"/>
  <c r="X543" i="9"/>
  <c r="I532" i="9"/>
  <c r="T532" i="9"/>
  <c r="F538" i="9"/>
  <c r="Q538" i="9"/>
  <c r="I543" i="9"/>
  <c r="T543" i="9"/>
  <c r="N540" i="9"/>
  <c r="Y540" i="9"/>
  <c r="I531" i="9"/>
  <c r="T531" i="9"/>
  <c r="F531" i="9"/>
  <c r="Q531" i="9"/>
  <c r="L538" i="9"/>
  <c r="W538" i="9"/>
  <c r="G542" i="9"/>
  <c r="R542" i="9"/>
  <c r="N534" i="9"/>
  <c r="Y534" i="9"/>
  <c r="G541" i="9"/>
  <c r="R541" i="9"/>
  <c r="G546" i="9"/>
  <c r="R546" i="9"/>
  <c r="L532" i="9"/>
  <c r="W532" i="9"/>
  <c r="F535" i="9"/>
  <c r="Q535" i="9"/>
  <c r="J538" i="9"/>
  <c r="U538" i="9"/>
  <c r="I536" i="9"/>
  <c r="T536" i="9"/>
  <c r="F536" i="9"/>
  <c r="Q536" i="9"/>
  <c r="N546" i="9"/>
  <c r="Y546" i="9"/>
  <c r="J545" i="9"/>
  <c r="U545" i="9"/>
  <c r="O541" i="9"/>
  <c r="Z541" i="9"/>
  <c r="O536" i="9"/>
  <c r="Z536" i="9"/>
  <c r="I534" i="9"/>
  <c r="T534" i="9"/>
  <c r="J537" i="9"/>
  <c r="U537" i="9"/>
  <c r="M536" i="9"/>
  <c r="X536" i="9"/>
  <c r="O350" i="9"/>
  <c r="Z350" i="9"/>
  <c r="H346" i="9"/>
  <c r="S346" i="9"/>
  <c r="I343" i="9"/>
  <c r="T343" i="9"/>
  <c r="H348" i="9"/>
  <c r="S348" i="9"/>
  <c r="H344" i="9"/>
  <c r="S344" i="9"/>
  <c r="G347" i="9"/>
  <c r="R347" i="9"/>
  <c r="I346" i="9"/>
  <c r="T346" i="9"/>
  <c r="O349" i="9"/>
  <c r="Z349" i="9"/>
  <c r="M350" i="9"/>
  <c r="X350" i="9"/>
  <c r="K339" i="9"/>
  <c r="V339" i="9"/>
  <c r="K348" i="9"/>
  <c r="V348" i="9"/>
  <c r="N343" i="9"/>
  <c r="Y343" i="9"/>
  <c r="O340" i="9"/>
  <c r="Z340" i="9"/>
  <c r="M353" i="9"/>
  <c r="X353" i="9"/>
  <c r="H352" i="9"/>
  <c r="S352" i="9"/>
  <c r="O351" i="9"/>
  <c r="Z351" i="9"/>
  <c r="I354" i="9"/>
  <c r="T354" i="9"/>
  <c r="M354" i="9"/>
  <c r="X354" i="9"/>
  <c r="F354" i="9"/>
  <c r="Q354" i="9"/>
  <c r="N342" i="9"/>
  <c r="Y342" i="9"/>
  <c r="I349" i="9"/>
  <c r="T349" i="9"/>
  <c r="L344" i="9"/>
  <c r="W344" i="9"/>
  <c r="M341" i="9"/>
  <c r="X341" i="9"/>
  <c r="N341" i="9"/>
  <c r="Y341" i="9"/>
  <c r="J343" i="9"/>
  <c r="U343" i="9"/>
  <c r="I350" i="9"/>
  <c r="T350" i="9"/>
  <c r="M352" i="9"/>
  <c r="X352" i="9"/>
  <c r="G353" i="9"/>
  <c r="R353" i="9"/>
  <c r="L347" i="9"/>
  <c r="W347" i="9"/>
  <c r="I352" i="9"/>
  <c r="T352" i="9"/>
  <c r="G350" i="9"/>
  <c r="R350" i="9"/>
  <c r="J345" i="9"/>
  <c r="U345" i="9"/>
  <c r="K342" i="9"/>
  <c r="V342" i="9"/>
  <c r="F345" i="9"/>
  <c r="Q345" i="9"/>
  <c r="N349" i="9"/>
  <c r="Y349" i="9"/>
  <c r="M348" i="9"/>
  <c r="X348" i="9"/>
  <c r="K349" i="9"/>
  <c r="V349" i="9"/>
  <c r="K351" i="9"/>
  <c r="V351" i="9"/>
  <c r="H341" i="9"/>
  <c r="S341" i="9"/>
  <c r="O345" i="9"/>
  <c r="Z345" i="9"/>
  <c r="K344" i="9"/>
  <c r="V344" i="9"/>
  <c r="L352" i="9"/>
  <c r="W352" i="9"/>
  <c r="N353" i="9"/>
  <c r="Y353" i="9"/>
  <c r="L349" i="9"/>
  <c r="W349" i="9"/>
  <c r="F340" i="9"/>
  <c r="Q340" i="9"/>
  <c r="G342" i="9"/>
  <c r="R342" i="9"/>
  <c r="H350" i="9"/>
  <c r="S350" i="9"/>
  <c r="F353" i="9"/>
  <c r="Q353" i="9"/>
  <c r="J354" i="9"/>
  <c r="U354" i="9"/>
  <c r="O341" i="9"/>
  <c r="Z341" i="9"/>
  <c r="O342" i="9"/>
  <c r="Z342" i="9"/>
  <c r="F351" i="9"/>
  <c r="Q351" i="9"/>
  <c r="F341" i="9"/>
  <c r="Q341" i="9"/>
  <c r="N352" i="9"/>
  <c r="Y352" i="9"/>
  <c r="I340" i="9"/>
  <c r="T340" i="9"/>
  <c r="M343" i="9"/>
  <c r="X343" i="9"/>
  <c r="N351" i="9"/>
  <c r="Y351" i="9"/>
  <c r="J347" i="9"/>
  <c r="U347" i="9"/>
  <c r="H351" i="9"/>
  <c r="S351" i="9"/>
  <c r="J346" i="9"/>
  <c r="U346" i="9"/>
  <c r="F343" i="9"/>
  <c r="Q343" i="9"/>
  <c r="F349" i="9"/>
  <c r="Q349" i="9"/>
  <c r="L341" i="9"/>
  <c r="W341" i="9"/>
  <c r="K341" i="9"/>
  <c r="V341" i="9"/>
  <c r="I345" i="9"/>
  <c r="T345" i="9"/>
  <c r="J353" i="9"/>
  <c r="U353" i="9"/>
  <c r="J339" i="9"/>
  <c r="U339" i="9"/>
  <c r="F348" i="9"/>
  <c r="Q348" i="9"/>
  <c r="G351" i="9"/>
  <c r="R351" i="9"/>
  <c r="G346" i="9"/>
  <c r="R346" i="9"/>
  <c r="H354" i="9"/>
  <c r="S354" i="9"/>
  <c r="L342" i="9"/>
  <c r="W342" i="9"/>
  <c r="N344" i="9"/>
  <c r="Y344" i="9"/>
  <c r="O347" i="9"/>
  <c r="Z347" i="9"/>
  <c r="O346" i="9"/>
  <c r="Z346" i="9"/>
  <c r="I339" i="9"/>
  <c r="T339" i="9"/>
  <c r="N345" i="9"/>
  <c r="Y345" i="9"/>
  <c r="H343" i="9"/>
  <c r="S343" i="9"/>
  <c r="G341" i="9"/>
  <c r="R341" i="9"/>
  <c r="I341" i="9"/>
  <c r="T341" i="9"/>
  <c r="G354" i="9"/>
  <c r="R354" i="9"/>
  <c r="J349" i="9"/>
  <c r="U349" i="9"/>
  <c r="K346" i="9"/>
  <c r="V346" i="9"/>
  <c r="L346" i="9"/>
  <c r="W346" i="9"/>
  <c r="J350" i="9"/>
  <c r="U350" i="9"/>
  <c r="M340" i="9"/>
  <c r="X340" i="9"/>
  <c r="H353" i="9"/>
  <c r="S353" i="9"/>
  <c r="K343" i="9"/>
  <c r="V343" i="9"/>
  <c r="J352" i="9"/>
  <c r="U352" i="9"/>
  <c r="G339" i="9"/>
  <c r="R339" i="9"/>
  <c r="M351" i="9"/>
  <c r="X351" i="9"/>
  <c r="F347" i="9"/>
  <c r="Q347" i="9"/>
  <c r="G344" i="9"/>
  <c r="R344" i="9"/>
  <c r="J351" i="9"/>
  <c r="U351" i="9"/>
  <c r="L350" i="9"/>
  <c r="W350" i="9"/>
  <c r="K345" i="9"/>
  <c r="V345" i="9"/>
  <c r="G343" i="9"/>
  <c r="R343" i="9"/>
  <c r="I348" i="9"/>
  <c r="T348" i="9"/>
  <c r="I344" i="9"/>
  <c r="T344" i="9"/>
  <c r="M339" i="9"/>
  <c r="X339" i="9"/>
  <c r="K352" i="9"/>
  <c r="V352" i="9"/>
  <c r="N347" i="9"/>
  <c r="Y347" i="9"/>
  <c r="O344" i="9"/>
  <c r="Z344" i="9"/>
  <c r="L354" i="9"/>
  <c r="W354" i="9"/>
  <c r="L353" i="9"/>
  <c r="W353" i="9"/>
  <c r="O343" i="9"/>
  <c r="Z343" i="9"/>
  <c r="O339" i="9"/>
  <c r="Z339" i="9"/>
  <c r="M346" i="9"/>
  <c r="X346" i="9"/>
  <c r="J344" i="9"/>
  <c r="U344" i="9"/>
  <c r="K340" i="9"/>
  <c r="V340" i="9"/>
  <c r="I353" i="9"/>
  <c r="T353" i="9"/>
  <c r="L348" i="9"/>
  <c r="W348" i="9"/>
  <c r="M345" i="9"/>
  <c r="X345" i="9"/>
  <c r="H340" i="9"/>
  <c r="S340" i="9"/>
  <c r="F352" i="9"/>
  <c r="Q352" i="9"/>
  <c r="I342" i="9"/>
  <c r="T342" i="9"/>
  <c r="N354" i="9"/>
  <c r="Y354" i="9"/>
  <c r="G345" i="9"/>
  <c r="R345" i="9"/>
  <c r="K347" i="9"/>
  <c r="V347" i="9"/>
  <c r="N339" i="9"/>
  <c r="Y339" i="9"/>
  <c r="M349" i="9"/>
  <c r="X349" i="9"/>
  <c r="F344" i="9"/>
  <c r="Q344" i="9"/>
  <c r="N346" i="9"/>
  <c r="Y346" i="9"/>
  <c r="M342" i="9"/>
  <c r="X342" i="9"/>
  <c r="O354" i="9"/>
  <c r="Z354" i="9"/>
  <c r="I347" i="9"/>
  <c r="T347" i="9"/>
  <c r="N348" i="9"/>
  <c r="Y348" i="9"/>
  <c r="L351" i="9"/>
  <c r="W351" i="9"/>
  <c r="F346" i="9"/>
  <c r="Q346" i="9"/>
  <c r="K354" i="9"/>
  <c r="V354" i="9"/>
  <c r="G348" i="9"/>
  <c r="R348" i="9"/>
  <c r="H347" i="9"/>
  <c r="S347" i="9"/>
  <c r="F350" i="9"/>
  <c r="Q350" i="9"/>
  <c r="L339" i="9"/>
  <c r="W339" i="9"/>
  <c r="F339" i="9"/>
  <c r="Q339" i="9"/>
  <c r="O348" i="9"/>
  <c r="Z348" i="9"/>
  <c r="L345" i="9"/>
  <c r="W345" i="9"/>
  <c r="J348" i="9"/>
  <c r="U348" i="9"/>
  <c r="G349" i="9"/>
  <c r="R349" i="9"/>
  <c r="M347" i="9"/>
  <c r="X347" i="9"/>
  <c r="G340" i="9"/>
  <c r="R340" i="9"/>
  <c r="O352" i="9"/>
  <c r="Z352" i="9"/>
  <c r="K353" i="9"/>
  <c r="V353" i="9"/>
  <c r="J340" i="9"/>
  <c r="U340" i="9"/>
  <c r="H349" i="9"/>
  <c r="S349" i="9"/>
  <c r="L340" i="9"/>
  <c r="W340" i="9"/>
  <c r="K350" i="9"/>
  <c r="V350" i="9"/>
  <c r="J342" i="9"/>
  <c r="U342" i="9"/>
  <c r="H345" i="9"/>
  <c r="S345" i="9"/>
  <c r="N350" i="9"/>
  <c r="Y350" i="9"/>
  <c r="J341" i="9"/>
  <c r="U341" i="9"/>
  <c r="I351" i="9"/>
  <c r="T351" i="9"/>
  <c r="N340" i="9"/>
  <c r="Y340" i="9"/>
  <c r="L343" i="9"/>
  <c r="W343" i="9"/>
  <c r="O353" i="9"/>
  <c r="Z353" i="9"/>
  <c r="H342" i="9"/>
  <c r="S342" i="9"/>
  <c r="G352" i="9"/>
  <c r="R352" i="9"/>
  <c r="H339" i="9"/>
  <c r="S339" i="9"/>
  <c r="F342" i="9"/>
  <c r="Q342" i="9"/>
  <c r="M344" i="9"/>
  <c r="X344" i="9"/>
  <c r="N958" i="9"/>
  <c r="Y958" i="9"/>
  <c r="M958" i="9"/>
  <c r="X958" i="9"/>
  <c r="G958" i="9"/>
  <c r="R958" i="9"/>
  <c r="F951" i="9"/>
  <c r="Q951" i="9"/>
  <c r="H956" i="9"/>
  <c r="S956" i="9"/>
  <c r="J953" i="9"/>
  <c r="U953" i="9"/>
  <c r="N954" i="9"/>
  <c r="Y954" i="9"/>
  <c r="I951" i="9"/>
  <c r="T951" i="9"/>
  <c r="F955" i="9"/>
  <c r="Q955" i="9"/>
  <c r="N959" i="9"/>
  <c r="Y959" i="9"/>
  <c r="L953" i="9"/>
  <c r="W953" i="9"/>
  <c r="K953" i="9"/>
  <c r="V953" i="9"/>
  <c r="K950" i="9"/>
  <c r="V950" i="9"/>
  <c r="H952" i="9"/>
  <c r="S952" i="9"/>
  <c r="I957" i="9"/>
  <c r="T957" i="9"/>
  <c r="H949" i="9"/>
  <c r="S949" i="9"/>
  <c r="G949" i="9"/>
  <c r="R949" i="9"/>
  <c r="J958" i="9"/>
  <c r="U958" i="9"/>
  <c r="M949" i="9"/>
  <c r="X949" i="9"/>
  <c r="O956" i="9"/>
  <c r="Z956" i="9"/>
  <c r="L950" i="9"/>
  <c r="W950" i="9"/>
  <c r="N948" i="9"/>
  <c r="Y948" i="9"/>
  <c r="M948" i="9"/>
  <c r="X948" i="9"/>
  <c r="J956" i="9"/>
  <c r="U956" i="9"/>
  <c r="G954" i="9"/>
  <c r="R954" i="9"/>
  <c r="F956" i="9"/>
  <c r="Q956" i="9"/>
  <c r="N950" i="9"/>
  <c r="Y950" i="9"/>
  <c r="M950" i="9"/>
  <c r="X950" i="9"/>
  <c r="F960" i="9"/>
  <c r="Q960" i="9"/>
  <c r="O959" i="9"/>
  <c r="Z959" i="9"/>
  <c r="M959" i="9"/>
  <c r="X959" i="9"/>
  <c r="G953" i="9"/>
  <c r="R953" i="9"/>
  <c r="G961" i="9"/>
  <c r="R961" i="9"/>
  <c r="L955" i="9"/>
  <c r="W955" i="9"/>
  <c r="K955" i="9"/>
  <c r="V955" i="9"/>
  <c r="K948" i="9"/>
  <c r="V948" i="9"/>
  <c r="G956" i="9"/>
  <c r="R956" i="9"/>
  <c r="N949" i="9"/>
  <c r="Y949" i="9"/>
  <c r="M962" i="9"/>
  <c r="X962" i="9"/>
  <c r="J948" i="9"/>
  <c r="U948" i="9"/>
  <c r="I962" i="9"/>
  <c r="T962" i="9"/>
  <c r="J950" i="9"/>
  <c r="U950" i="9"/>
  <c r="H959" i="9"/>
  <c r="S959" i="9"/>
  <c r="O957" i="9"/>
  <c r="Z957" i="9"/>
  <c r="K957" i="9"/>
  <c r="V957" i="9"/>
  <c r="I960" i="9"/>
  <c r="T960" i="9"/>
  <c r="H960" i="9"/>
  <c r="S960" i="9"/>
  <c r="H962" i="9"/>
  <c r="S962" i="9"/>
  <c r="O947" i="9"/>
  <c r="Z947" i="9"/>
  <c r="F954" i="9"/>
  <c r="Q954" i="9"/>
  <c r="O962" i="9"/>
  <c r="Z962" i="9"/>
  <c r="O955" i="9"/>
  <c r="Z955" i="9"/>
  <c r="N960" i="9"/>
  <c r="Y960" i="9"/>
  <c r="L954" i="9"/>
  <c r="W954" i="9"/>
  <c r="N956" i="9"/>
  <c r="Y956" i="9"/>
  <c r="I948" i="9"/>
  <c r="T948" i="9"/>
  <c r="H950" i="9"/>
  <c r="S950" i="9"/>
  <c r="N955" i="9"/>
  <c r="Y955" i="9"/>
  <c r="I952" i="9"/>
  <c r="T952" i="9"/>
  <c r="K961" i="9"/>
  <c r="V961" i="9"/>
  <c r="I956" i="9"/>
  <c r="T956" i="9"/>
  <c r="M947" i="9"/>
  <c r="X947" i="9"/>
  <c r="J947" i="9"/>
  <c r="U947" i="9"/>
  <c r="G947" i="9"/>
  <c r="R947" i="9"/>
  <c r="G952" i="9"/>
  <c r="R952" i="9"/>
  <c r="N951" i="9"/>
  <c r="Y951" i="9"/>
  <c r="F952" i="9"/>
  <c r="Q952" i="9"/>
  <c r="J961" i="9"/>
  <c r="U961" i="9"/>
  <c r="O949" i="9"/>
  <c r="Z949" i="9"/>
  <c r="J962" i="9"/>
  <c r="U962" i="9"/>
  <c r="N953" i="9"/>
  <c r="Y953" i="9"/>
  <c r="O958" i="9"/>
  <c r="Z958" i="9"/>
  <c r="M960" i="9"/>
  <c r="X960" i="9"/>
  <c r="J960" i="9"/>
  <c r="U960" i="9"/>
  <c r="F958" i="9"/>
  <c r="Q958" i="9"/>
  <c r="K951" i="9"/>
  <c r="V951" i="9"/>
  <c r="I954" i="9"/>
  <c r="T954" i="9"/>
  <c r="K959" i="9"/>
  <c r="V959" i="9"/>
  <c r="I953" i="9"/>
  <c r="T953" i="9"/>
  <c r="K956" i="9"/>
  <c r="V956" i="9"/>
  <c r="M956" i="9"/>
  <c r="X956" i="9"/>
  <c r="M952" i="9"/>
  <c r="X952" i="9"/>
  <c r="H951" i="9"/>
  <c r="S951" i="9"/>
  <c r="I949" i="9"/>
  <c r="T949" i="9"/>
  <c r="N961" i="9"/>
  <c r="Y961" i="9"/>
  <c r="G955" i="9"/>
  <c r="R955" i="9"/>
  <c r="L958" i="9"/>
  <c r="W958" i="9"/>
  <c r="H957" i="9"/>
  <c r="S957" i="9"/>
  <c r="M955" i="9"/>
  <c r="X955" i="9"/>
  <c r="F953" i="9"/>
  <c r="Q953" i="9"/>
  <c r="L951" i="9"/>
  <c r="W951" i="9"/>
  <c r="O961" i="9"/>
  <c r="Z961" i="9"/>
  <c r="J957" i="9"/>
  <c r="U957" i="9"/>
  <c r="M957" i="9"/>
  <c r="X957" i="9"/>
  <c r="K962" i="9"/>
  <c r="V962" i="9"/>
  <c r="L949" i="9"/>
  <c r="W949" i="9"/>
  <c r="I950" i="9"/>
  <c r="T950" i="9"/>
  <c r="K949" i="9"/>
  <c r="V949" i="9"/>
  <c r="K954" i="9"/>
  <c r="V954" i="9"/>
  <c r="G960" i="9"/>
  <c r="R960" i="9"/>
  <c r="N952" i="9"/>
  <c r="Y952" i="9"/>
  <c r="M951" i="9"/>
  <c r="X951" i="9"/>
  <c r="O953" i="9"/>
  <c r="Z953" i="9"/>
  <c r="L956" i="9"/>
  <c r="W956" i="9"/>
  <c r="F961" i="9"/>
  <c r="Q961" i="9"/>
  <c r="K952" i="9"/>
  <c r="V952" i="9"/>
  <c r="O954" i="9"/>
  <c r="Z954" i="9"/>
  <c r="J951" i="9"/>
  <c r="U951" i="9"/>
  <c r="J954" i="9"/>
  <c r="U954" i="9"/>
  <c r="L961" i="9"/>
  <c r="W961" i="9"/>
  <c r="I955" i="9"/>
  <c r="T955" i="9"/>
  <c r="H947" i="9"/>
  <c r="S947" i="9"/>
  <c r="G948" i="9"/>
  <c r="R948" i="9"/>
  <c r="I958" i="9"/>
  <c r="T958" i="9"/>
  <c r="H961" i="9"/>
  <c r="S961" i="9"/>
  <c r="L959" i="9"/>
  <c r="W959" i="9"/>
  <c r="J949" i="9"/>
  <c r="U949" i="9"/>
  <c r="G959" i="9"/>
  <c r="R959" i="9"/>
  <c r="O948" i="9"/>
  <c r="Z948" i="9"/>
  <c r="K960" i="9"/>
  <c r="V960" i="9"/>
  <c r="L962" i="9"/>
  <c r="W962" i="9"/>
  <c r="I947" i="9"/>
  <c r="T947" i="9"/>
  <c r="H955" i="9"/>
  <c r="S955" i="9"/>
  <c r="J955" i="9"/>
  <c r="U955" i="9"/>
  <c r="N947" i="9"/>
  <c r="Y947" i="9"/>
  <c r="F962" i="9"/>
  <c r="Q962" i="9"/>
  <c r="O951" i="9"/>
  <c r="Z951" i="9"/>
  <c r="M954" i="9"/>
  <c r="X954" i="9"/>
  <c r="I959" i="9"/>
  <c r="T959" i="9"/>
  <c r="H948" i="9"/>
  <c r="S948" i="9"/>
  <c r="K958" i="9"/>
  <c r="V958" i="9"/>
  <c r="O952" i="9"/>
  <c r="Z952" i="9"/>
  <c r="L957" i="9"/>
  <c r="W957" i="9"/>
  <c r="L952" i="9"/>
  <c r="W952" i="9"/>
  <c r="J952" i="9"/>
  <c r="U952" i="9"/>
  <c r="I961" i="9"/>
  <c r="T961" i="9"/>
  <c r="M953" i="9"/>
  <c r="X953" i="9"/>
  <c r="H953" i="9"/>
  <c r="S953" i="9"/>
  <c r="F957" i="9"/>
  <c r="Q957" i="9"/>
  <c r="N962" i="9"/>
  <c r="Y962" i="9"/>
  <c r="O950" i="9"/>
  <c r="Z950" i="9"/>
  <c r="G962" i="9"/>
  <c r="R962" i="9"/>
  <c r="H954" i="9"/>
  <c r="S954" i="9"/>
  <c r="G951" i="9"/>
  <c r="R951" i="9"/>
  <c r="F959" i="9"/>
  <c r="Q959" i="9"/>
  <c r="L947" i="9"/>
  <c r="W947" i="9"/>
  <c r="F949" i="9"/>
  <c r="Q949" i="9"/>
  <c r="H958" i="9"/>
  <c r="S958" i="9"/>
  <c r="G950" i="9"/>
  <c r="R950" i="9"/>
  <c r="G957" i="9"/>
  <c r="R957" i="9"/>
  <c r="F947" i="9"/>
  <c r="Q947" i="9"/>
  <c r="M961" i="9"/>
  <c r="X961" i="9"/>
  <c r="F950" i="9"/>
  <c r="Q950" i="9"/>
  <c r="L948" i="9"/>
  <c r="W948" i="9"/>
  <c r="O960" i="9"/>
  <c r="Z960" i="9"/>
  <c r="J959" i="9"/>
  <c r="U959" i="9"/>
  <c r="L960" i="9"/>
  <c r="W960" i="9"/>
  <c r="N957" i="9"/>
  <c r="Y957" i="9"/>
  <c r="K947" i="9"/>
  <c r="V947" i="9"/>
  <c r="F948" i="9"/>
  <c r="Q948" i="9"/>
  <c r="O708" i="9"/>
  <c r="Z708" i="9"/>
  <c r="G712" i="9"/>
  <c r="R712" i="9"/>
  <c r="I715" i="9"/>
  <c r="T715" i="9"/>
  <c r="K718" i="9"/>
  <c r="V718" i="9"/>
  <c r="M721" i="9"/>
  <c r="X721" i="9"/>
  <c r="G709" i="9"/>
  <c r="R709" i="9"/>
  <c r="I712" i="9"/>
  <c r="T712" i="9"/>
  <c r="K715" i="9"/>
  <c r="V715" i="9"/>
  <c r="M718" i="9"/>
  <c r="X718" i="9"/>
  <c r="O721" i="9"/>
  <c r="Z721" i="9"/>
  <c r="I710" i="9"/>
  <c r="T710" i="9"/>
  <c r="M716" i="9"/>
  <c r="X716" i="9"/>
  <c r="O707" i="9"/>
  <c r="Z707" i="9"/>
  <c r="I722" i="9"/>
  <c r="T722" i="9"/>
  <c r="I713" i="9"/>
  <c r="T713" i="9"/>
  <c r="M719" i="9"/>
  <c r="X719" i="9"/>
  <c r="I709" i="9"/>
  <c r="T709" i="9"/>
  <c r="M715" i="9"/>
  <c r="X715" i="9"/>
  <c r="G722" i="9"/>
  <c r="R722" i="9"/>
  <c r="K717" i="9"/>
  <c r="V717" i="9"/>
  <c r="H719" i="9"/>
  <c r="S719" i="9"/>
  <c r="N712" i="9"/>
  <c r="Y712" i="9"/>
  <c r="H722" i="9"/>
  <c r="S722" i="9"/>
  <c r="N715" i="9"/>
  <c r="Y715" i="9"/>
  <c r="J709" i="9"/>
  <c r="U709" i="9"/>
  <c r="N718" i="9"/>
  <c r="Y718" i="9"/>
  <c r="J712" i="9"/>
  <c r="U712" i="9"/>
  <c r="N721" i="9"/>
  <c r="Y721" i="9"/>
  <c r="J715" i="9"/>
  <c r="U715" i="9"/>
  <c r="F709" i="9"/>
  <c r="Q709" i="9"/>
  <c r="H715" i="9"/>
  <c r="S715" i="9"/>
  <c r="H718" i="9"/>
  <c r="S718" i="9"/>
  <c r="N716" i="9"/>
  <c r="Y716" i="9"/>
  <c r="H721" i="9"/>
  <c r="S721" i="9"/>
  <c r="J708" i="9"/>
  <c r="U708" i="9"/>
  <c r="J711" i="9"/>
  <c r="U711" i="9"/>
  <c r="H707" i="9"/>
  <c r="S707" i="9"/>
  <c r="H716" i="9"/>
  <c r="S716" i="9"/>
  <c r="F713" i="9"/>
  <c r="Q713" i="9"/>
  <c r="J719" i="9"/>
  <c r="U719" i="9"/>
  <c r="F707" i="9"/>
  <c r="Q707" i="9"/>
  <c r="K710" i="9"/>
  <c r="V710" i="9"/>
  <c r="K714" i="9"/>
  <c r="V714" i="9"/>
  <c r="I719" i="9"/>
  <c r="T719" i="9"/>
  <c r="K707" i="9"/>
  <c r="V707" i="9"/>
  <c r="K711" i="9"/>
  <c r="V711" i="9"/>
  <c r="I716" i="9"/>
  <c r="T716" i="9"/>
  <c r="I720" i="9"/>
  <c r="T720" i="9"/>
  <c r="M708" i="9"/>
  <c r="X708" i="9"/>
  <c r="I718" i="9"/>
  <c r="T718" i="9"/>
  <c r="O715" i="9"/>
  <c r="Z715" i="9"/>
  <c r="M711" i="9"/>
  <c r="X711" i="9"/>
  <c r="I721" i="9"/>
  <c r="T721" i="9"/>
  <c r="K712" i="9"/>
  <c r="V712" i="9"/>
  <c r="K720" i="9"/>
  <c r="V720" i="9"/>
  <c r="M720" i="9"/>
  <c r="X720" i="9"/>
  <c r="F716" i="9"/>
  <c r="Q716" i="9"/>
  <c r="F708" i="9"/>
  <c r="Q708" i="9"/>
  <c r="H714" i="9"/>
  <c r="S714" i="9"/>
  <c r="F722" i="9"/>
  <c r="Q722" i="9"/>
  <c r="F714" i="9"/>
  <c r="Q714" i="9"/>
  <c r="H720" i="9"/>
  <c r="S720" i="9"/>
  <c r="H712" i="9"/>
  <c r="S712" i="9"/>
  <c r="J718" i="9"/>
  <c r="U718" i="9"/>
  <c r="F715" i="9"/>
  <c r="Q715" i="9"/>
  <c r="N719" i="9"/>
  <c r="Y719" i="9"/>
  <c r="L711" i="9"/>
  <c r="W711" i="9"/>
  <c r="H708" i="9"/>
  <c r="S708" i="9"/>
  <c r="H710" i="9"/>
  <c r="S710" i="9"/>
  <c r="F710" i="9"/>
  <c r="Q710" i="9"/>
  <c r="I707" i="9"/>
  <c r="T707" i="9"/>
  <c r="O712" i="9"/>
  <c r="Z712" i="9"/>
  <c r="M717" i="9"/>
  <c r="X717" i="9"/>
  <c r="I708" i="9"/>
  <c r="T708" i="9"/>
  <c r="O713" i="9"/>
  <c r="Z713" i="9"/>
  <c r="K719" i="9"/>
  <c r="V719" i="9"/>
  <c r="O711" i="9"/>
  <c r="Z711" i="9"/>
  <c r="K721" i="9"/>
  <c r="V721" i="9"/>
  <c r="G710" i="9"/>
  <c r="R710" i="9"/>
  <c r="O722" i="9"/>
  <c r="Z722" i="9"/>
  <c r="I717" i="9"/>
  <c r="T717" i="9"/>
  <c r="I714" i="9"/>
  <c r="T714" i="9"/>
  <c r="J714" i="9"/>
  <c r="U714" i="9"/>
  <c r="F719" i="9"/>
  <c r="Q719" i="9"/>
  <c r="N707" i="9"/>
  <c r="Y707" i="9"/>
  <c r="N710" i="9"/>
  <c r="Y710" i="9"/>
  <c r="F717" i="9"/>
  <c r="Q717" i="9"/>
  <c r="L721" i="9"/>
  <c r="W721" i="9"/>
  <c r="N711" i="9"/>
  <c r="Y711" i="9"/>
  <c r="F718" i="9"/>
  <c r="Q718" i="9"/>
  <c r="L714" i="9"/>
  <c r="W714" i="9"/>
  <c r="H713" i="9"/>
  <c r="S713" i="9"/>
  <c r="L722" i="9"/>
  <c r="W722" i="9"/>
  <c r="O720" i="9"/>
  <c r="Z720" i="9"/>
  <c r="G721" i="9"/>
  <c r="R721" i="9"/>
  <c r="M707" i="9"/>
  <c r="X707" i="9"/>
  <c r="L717" i="9"/>
  <c r="W717" i="9"/>
  <c r="H717" i="9"/>
  <c r="S717" i="9"/>
  <c r="F712" i="9"/>
  <c r="Q712" i="9"/>
  <c r="N717" i="9"/>
  <c r="Y717" i="9"/>
  <c r="M709" i="9"/>
  <c r="X709" i="9"/>
  <c r="O716" i="9"/>
  <c r="Z716" i="9"/>
  <c r="O709" i="9"/>
  <c r="Z709" i="9"/>
  <c r="G717" i="9"/>
  <c r="R717" i="9"/>
  <c r="G707" i="9"/>
  <c r="R707" i="9"/>
  <c r="G711" i="9"/>
  <c r="R711" i="9"/>
  <c r="K716" i="9"/>
  <c r="V716" i="9"/>
  <c r="G714" i="9"/>
  <c r="R714" i="9"/>
  <c r="J722" i="9"/>
  <c r="U722" i="9"/>
  <c r="L709" i="9"/>
  <c r="W709" i="9"/>
  <c r="F711" i="9"/>
  <c r="Q711" i="9"/>
  <c r="H709" i="9"/>
  <c r="S709" i="9"/>
  <c r="L710" i="9"/>
  <c r="W710" i="9"/>
  <c r="J721" i="9"/>
  <c r="U721" i="9"/>
  <c r="N714" i="9"/>
  <c r="Y714" i="9"/>
  <c r="L713" i="9"/>
  <c r="W713" i="9"/>
  <c r="L719" i="9"/>
  <c r="W719" i="9"/>
  <c r="I711" i="9"/>
  <c r="T711" i="9"/>
  <c r="G720" i="9"/>
  <c r="R720" i="9"/>
  <c r="M710" i="9"/>
  <c r="X710" i="9"/>
  <c r="O717" i="9"/>
  <c r="Z717" i="9"/>
  <c r="K713" i="9"/>
  <c r="V713" i="9"/>
  <c r="G719" i="9"/>
  <c r="R719" i="9"/>
  <c r="G718" i="9"/>
  <c r="R718" i="9"/>
  <c r="O718" i="9"/>
  <c r="Z718" i="9"/>
  <c r="N720" i="9"/>
  <c r="Y720" i="9"/>
  <c r="L720" i="9"/>
  <c r="W720" i="9"/>
  <c r="J720" i="9"/>
  <c r="U720" i="9"/>
  <c r="L707" i="9"/>
  <c r="W707" i="9"/>
  <c r="J707" i="9"/>
  <c r="U707" i="9"/>
  <c r="L708" i="9"/>
  <c r="W708" i="9"/>
  <c r="F721" i="9"/>
  <c r="Q721" i="9"/>
  <c r="L716" i="9"/>
  <c r="W716" i="9"/>
  <c r="N709" i="9"/>
  <c r="Y709" i="9"/>
  <c r="M713" i="9"/>
  <c r="X713" i="9"/>
  <c r="G713" i="9"/>
  <c r="R713" i="9"/>
  <c r="G715" i="9"/>
  <c r="R715" i="9"/>
  <c r="K708" i="9"/>
  <c r="V708" i="9"/>
  <c r="K709" i="9"/>
  <c r="V709" i="9"/>
  <c r="J717" i="9"/>
  <c r="U717" i="9"/>
  <c r="L718" i="9"/>
  <c r="W718" i="9"/>
  <c r="J710" i="9"/>
  <c r="U710" i="9"/>
  <c r="J716" i="9"/>
  <c r="U716" i="9"/>
  <c r="K722" i="9"/>
  <c r="V722" i="9"/>
  <c r="O714" i="9"/>
  <c r="Z714" i="9"/>
  <c r="L712" i="9"/>
  <c r="W712" i="9"/>
  <c r="J713" i="9"/>
  <c r="U713" i="9"/>
  <c r="G708" i="9"/>
  <c r="R708" i="9"/>
  <c r="M712" i="9"/>
  <c r="X712" i="9"/>
  <c r="N722" i="9"/>
  <c r="Y722" i="9"/>
  <c r="G716" i="9"/>
  <c r="R716" i="9"/>
  <c r="O719" i="9"/>
  <c r="Z719" i="9"/>
  <c r="H711" i="9"/>
  <c r="S711" i="9"/>
  <c r="N708" i="9"/>
  <c r="Y708" i="9"/>
  <c r="M714" i="9"/>
  <c r="X714" i="9"/>
  <c r="O710" i="9"/>
  <c r="Z710" i="9"/>
  <c r="L715" i="9"/>
  <c r="W715" i="9"/>
  <c r="F720" i="9"/>
  <c r="Q720" i="9"/>
  <c r="M722" i="9"/>
  <c r="X722" i="9"/>
  <c r="N713" i="9"/>
  <c r="Y713" i="9"/>
  <c r="P27" i="9"/>
  <c r="P22" i="9"/>
  <c r="P25" i="9"/>
  <c r="K1044" i="9"/>
  <c r="V1044" i="9"/>
  <c r="L1046" i="9"/>
  <c r="W1046" i="9"/>
  <c r="F1043" i="9"/>
  <c r="Q1043" i="9"/>
  <c r="H1045" i="9"/>
  <c r="S1045" i="9"/>
  <c r="I1047" i="9"/>
  <c r="T1047" i="9"/>
  <c r="J1049" i="9"/>
  <c r="U1049" i="9"/>
  <c r="L1051" i="9"/>
  <c r="W1051" i="9"/>
  <c r="M1053" i="9"/>
  <c r="X1053" i="9"/>
  <c r="N1055" i="9"/>
  <c r="Y1055" i="9"/>
  <c r="F1058" i="9"/>
  <c r="Q1058" i="9"/>
  <c r="N1045" i="9"/>
  <c r="Y1045" i="9"/>
  <c r="L1049" i="9"/>
  <c r="W1049" i="9"/>
  <c r="J1052" i="9"/>
  <c r="U1052" i="9"/>
  <c r="H1055" i="9"/>
  <c r="S1055" i="9"/>
  <c r="G1058" i="9"/>
  <c r="R1058" i="9"/>
  <c r="F1046" i="9"/>
  <c r="Q1046" i="9"/>
  <c r="M1049" i="9"/>
  <c r="X1049" i="9"/>
  <c r="K1052" i="9"/>
  <c r="V1052" i="9"/>
  <c r="J1055" i="9"/>
  <c r="U1055" i="9"/>
  <c r="H1058" i="9"/>
  <c r="S1058" i="9"/>
  <c r="K1048" i="9"/>
  <c r="V1048" i="9"/>
  <c r="G1054" i="9"/>
  <c r="R1054" i="9"/>
  <c r="J1044" i="9"/>
  <c r="U1044" i="9"/>
  <c r="J1051" i="9"/>
  <c r="U1051" i="9"/>
  <c r="H1057" i="9"/>
  <c r="S1057" i="9"/>
  <c r="F1052" i="9"/>
  <c r="Q1052" i="9"/>
  <c r="I1049" i="9"/>
  <c r="T1049" i="9"/>
  <c r="J1047" i="9"/>
  <c r="U1047" i="9"/>
  <c r="H1043" i="9"/>
  <c r="S1043" i="9"/>
  <c r="K1056" i="9"/>
  <c r="V1056" i="9"/>
  <c r="K1055" i="9"/>
  <c r="V1055" i="9"/>
  <c r="G1049" i="9"/>
  <c r="R1049" i="9"/>
  <c r="I1058" i="9"/>
  <c r="T1058" i="9"/>
  <c r="O1051" i="9"/>
  <c r="Z1051" i="9"/>
  <c r="K1045" i="9"/>
  <c r="V1045" i="9"/>
  <c r="O1049" i="9"/>
  <c r="Z1049" i="9"/>
  <c r="K1051" i="9"/>
  <c r="V1051" i="9"/>
  <c r="K1049" i="9"/>
  <c r="V1049" i="9"/>
  <c r="G1051" i="9"/>
  <c r="R1051" i="9"/>
  <c r="I1054" i="9"/>
  <c r="T1054" i="9"/>
  <c r="F1045" i="9"/>
  <c r="Q1045" i="9"/>
  <c r="M1047" i="9"/>
  <c r="X1047" i="9"/>
  <c r="L1044" i="9"/>
  <c r="W1044" i="9"/>
  <c r="N1047" i="9"/>
  <c r="Y1047" i="9"/>
  <c r="K1050" i="9"/>
  <c r="V1050" i="9"/>
  <c r="H1053" i="9"/>
  <c r="S1053" i="9"/>
  <c r="J1056" i="9"/>
  <c r="U1056" i="9"/>
  <c r="M1043" i="9"/>
  <c r="X1043" i="9"/>
  <c r="N1048" i="9"/>
  <c r="Y1048" i="9"/>
  <c r="F1053" i="9"/>
  <c r="Q1053" i="9"/>
  <c r="L1056" i="9"/>
  <c r="W1056" i="9"/>
  <c r="O1044" i="9"/>
  <c r="Z1044" i="9"/>
  <c r="J1050" i="9"/>
  <c r="U1050" i="9"/>
  <c r="F1054" i="9"/>
  <c r="Q1054" i="9"/>
  <c r="L1057" i="9"/>
  <c r="W1057" i="9"/>
  <c r="N1049" i="9"/>
  <c r="Y1049" i="9"/>
  <c r="F1057" i="9"/>
  <c r="Q1057" i="9"/>
  <c r="G1050" i="9"/>
  <c r="R1050" i="9"/>
  <c r="L1058" i="9"/>
  <c r="W1058" i="9"/>
  <c r="M1057" i="9"/>
  <c r="X1057" i="9"/>
  <c r="N1057" i="9"/>
  <c r="Y1057" i="9"/>
  <c r="H1056" i="9"/>
  <c r="S1056" i="9"/>
  <c r="M1058" i="9"/>
  <c r="X1058" i="9"/>
  <c r="M1050" i="9"/>
  <c r="X1050" i="9"/>
  <c r="M1056" i="9"/>
  <c r="X1056" i="9"/>
  <c r="M1048" i="9"/>
  <c r="X1048" i="9"/>
  <c r="G1053" i="9"/>
  <c r="R1053" i="9"/>
  <c r="G1045" i="9"/>
  <c r="R1045" i="9"/>
  <c r="M1054" i="9"/>
  <c r="X1054" i="9"/>
  <c r="M1044" i="9"/>
  <c r="X1044" i="9"/>
  <c r="G1043" i="9"/>
  <c r="R1043" i="9"/>
  <c r="L1045" i="9"/>
  <c r="W1045" i="9"/>
  <c r="H1048" i="9"/>
  <c r="S1048" i="9"/>
  <c r="M1045" i="9"/>
  <c r="X1045" i="9"/>
  <c r="J1048" i="9"/>
  <c r="U1048" i="9"/>
  <c r="F1051" i="9"/>
  <c r="Q1051" i="9"/>
  <c r="H1054" i="9"/>
  <c r="S1054" i="9"/>
  <c r="O1056" i="9"/>
  <c r="Z1056" i="9"/>
  <c r="N1044" i="9"/>
  <c r="Y1044" i="9"/>
  <c r="H1050" i="9"/>
  <c r="S1050" i="9"/>
  <c r="N1053" i="9"/>
  <c r="Y1053" i="9"/>
  <c r="I1057" i="9"/>
  <c r="T1057" i="9"/>
  <c r="F1047" i="9"/>
  <c r="Q1047" i="9"/>
  <c r="H1051" i="9"/>
  <c r="S1051" i="9"/>
  <c r="L1054" i="9"/>
  <c r="W1054" i="9"/>
  <c r="O1058" i="9"/>
  <c r="Z1058" i="9"/>
  <c r="I1051" i="9"/>
  <c r="T1051" i="9"/>
  <c r="J1058" i="9"/>
  <c r="U1058" i="9"/>
  <c r="O1052" i="9"/>
  <c r="Z1052" i="9"/>
  <c r="I1045" i="9"/>
  <c r="T1045" i="9"/>
  <c r="J1045" i="9"/>
  <c r="U1045" i="9"/>
  <c r="J1053" i="9"/>
  <c r="U1053" i="9"/>
  <c r="L1050" i="9"/>
  <c r="W1050" i="9"/>
  <c r="G1057" i="9"/>
  <c r="R1057" i="9"/>
  <c r="K1047" i="9"/>
  <c r="V1047" i="9"/>
  <c r="G1055" i="9"/>
  <c r="R1055" i="9"/>
  <c r="G1047" i="9"/>
  <c r="R1047" i="9"/>
  <c r="M1046" i="9"/>
  <c r="X1046" i="9"/>
  <c r="O1055" i="9"/>
  <c r="Z1055" i="9"/>
  <c r="I1048" i="9"/>
  <c r="T1048" i="9"/>
  <c r="K1057" i="9"/>
  <c r="V1057" i="9"/>
  <c r="F1044" i="9"/>
  <c r="Q1044" i="9"/>
  <c r="F1050" i="9"/>
  <c r="Q1050" i="9"/>
  <c r="F1048" i="9"/>
  <c r="Q1048" i="9"/>
  <c r="F1049" i="9"/>
  <c r="Q1049" i="9"/>
  <c r="L1055" i="9"/>
  <c r="W1055" i="9"/>
  <c r="F1055" i="9"/>
  <c r="Q1055" i="9"/>
  <c r="I1044" i="9"/>
  <c r="T1044" i="9"/>
  <c r="G1046" i="9"/>
  <c r="R1046" i="9"/>
  <c r="H1046" i="9"/>
  <c r="S1046" i="9"/>
  <c r="G1052" i="9"/>
  <c r="R1052" i="9"/>
  <c r="J1057" i="9"/>
  <c r="U1057" i="9"/>
  <c r="O1050" i="9"/>
  <c r="Z1050" i="9"/>
  <c r="N1058" i="9"/>
  <c r="Y1058" i="9"/>
  <c r="N1051" i="9"/>
  <c r="Y1051" i="9"/>
  <c r="H1044" i="9"/>
  <c r="S1044" i="9"/>
  <c r="K1046" i="9"/>
  <c r="V1046" i="9"/>
  <c r="H1049" i="9"/>
  <c r="S1049" i="9"/>
  <c r="L1047" i="9"/>
  <c r="W1047" i="9"/>
  <c r="O1053" i="9"/>
  <c r="Z1053" i="9"/>
  <c r="K1053" i="9"/>
  <c r="V1053" i="9"/>
  <c r="K1043" i="9"/>
  <c r="V1043" i="9"/>
  <c r="O1047" i="9"/>
  <c r="Z1047" i="9"/>
  <c r="H1047" i="9"/>
  <c r="S1047" i="9"/>
  <c r="N1046" i="9"/>
  <c r="Y1046" i="9"/>
  <c r="L1052" i="9"/>
  <c r="W1052" i="9"/>
  <c r="K1058" i="9"/>
  <c r="V1058" i="9"/>
  <c r="M1051" i="9"/>
  <c r="X1051" i="9"/>
  <c r="N1043" i="9"/>
  <c r="Y1043" i="9"/>
  <c r="I1053" i="9"/>
  <c r="T1053" i="9"/>
  <c r="J1046" i="9"/>
  <c r="U1046" i="9"/>
  <c r="L1048" i="9"/>
  <c r="W1048" i="9"/>
  <c r="O1054" i="9"/>
  <c r="Z1054" i="9"/>
  <c r="L1053" i="9"/>
  <c r="W1053" i="9"/>
  <c r="I1052" i="9"/>
  <c r="T1052" i="9"/>
  <c r="I1050" i="9"/>
  <c r="T1050" i="9"/>
  <c r="O1057" i="9"/>
  <c r="Z1057" i="9"/>
  <c r="J1043" i="9"/>
  <c r="U1043" i="9"/>
  <c r="L1043" i="9"/>
  <c r="W1043" i="9"/>
  <c r="O1048" i="9"/>
  <c r="Z1048" i="9"/>
  <c r="N1054" i="9"/>
  <c r="Y1054" i="9"/>
  <c r="O1046" i="9"/>
  <c r="Z1046" i="9"/>
  <c r="K1054" i="9"/>
  <c r="V1054" i="9"/>
  <c r="G1048" i="9"/>
  <c r="R1048" i="9"/>
  <c r="G1056" i="9"/>
  <c r="R1056" i="9"/>
  <c r="N1052" i="9"/>
  <c r="Y1052" i="9"/>
  <c r="J1054" i="9"/>
  <c r="U1054" i="9"/>
  <c r="H1052" i="9"/>
  <c r="S1052" i="9"/>
  <c r="I1043" i="9"/>
  <c r="T1043" i="9"/>
  <c r="O1045" i="9"/>
  <c r="Z1045" i="9"/>
  <c r="O1043" i="9"/>
  <c r="Z1043" i="9"/>
  <c r="M1052" i="9"/>
  <c r="X1052" i="9"/>
  <c r="G1044" i="9"/>
  <c r="R1044" i="9"/>
  <c r="I1055" i="9"/>
  <c r="T1055" i="9"/>
  <c r="F1056" i="9"/>
  <c r="Q1056" i="9"/>
  <c r="N1056" i="9"/>
  <c r="Y1056" i="9"/>
  <c r="M1055" i="9"/>
  <c r="X1055" i="9"/>
  <c r="N1050" i="9"/>
  <c r="Y1050" i="9"/>
  <c r="I1056" i="9"/>
  <c r="T1056" i="9"/>
  <c r="I1046" i="9"/>
  <c r="T1046" i="9"/>
  <c r="F622" i="9"/>
  <c r="Q622" i="9"/>
  <c r="H624" i="9"/>
  <c r="S624" i="9"/>
  <c r="N616" i="9"/>
  <c r="Y616" i="9"/>
  <c r="N611" i="9"/>
  <c r="Y611" i="9"/>
  <c r="K621" i="9"/>
  <c r="V621" i="9"/>
  <c r="L618" i="9"/>
  <c r="W618" i="9"/>
  <c r="L626" i="9"/>
  <c r="W626" i="9"/>
  <c r="J625" i="9"/>
  <c r="U625" i="9"/>
  <c r="K623" i="9"/>
  <c r="V623" i="9"/>
  <c r="I614" i="9"/>
  <c r="T614" i="9"/>
  <c r="K616" i="9"/>
  <c r="V616" i="9"/>
  <c r="J619" i="9"/>
  <c r="U619" i="9"/>
  <c r="J626" i="9"/>
  <c r="U626" i="9"/>
  <c r="G620" i="9"/>
  <c r="R620" i="9"/>
  <c r="M616" i="9"/>
  <c r="X616" i="9"/>
  <c r="G616" i="9"/>
  <c r="R616" i="9"/>
  <c r="I619" i="9"/>
  <c r="T619" i="9"/>
  <c r="N615" i="9"/>
  <c r="Y615" i="9"/>
  <c r="J623" i="9"/>
  <c r="U623" i="9"/>
  <c r="K620" i="9"/>
  <c r="V620" i="9"/>
  <c r="I613" i="9"/>
  <c r="T613" i="9"/>
  <c r="F621" i="9"/>
  <c r="Q621" i="9"/>
  <c r="H623" i="9"/>
  <c r="S623" i="9"/>
  <c r="O616" i="9"/>
  <c r="Z616" i="9"/>
  <c r="I618" i="9"/>
  <c r="T618" i="9"/>
  <c r="H612" i="9"/>
  <c r="S612" i="9"/>
  <c r="N613" i="9"/>
  <c r="Y613" i="9"/>
  <c r="F619" i="9"/>
  <c r="Q619" i="9"/>
  <c r="O613" i="9"/>
  <c r="Z613" i="9"/>
  <c r="O624" i="9"/>
  <c r="Z624" i="9"/>
  <c r="H625" i="9"/>
  <c r="S625" i="9"/>
  <c r="L622" i="9"/>
  <c r="W622" i="9"/>
  <c r="F620" i="9"/>
  <c r="Q620" i="9"/>
  <c r="M613" i="9"/>
  <c r="X613" i="9"/>
  <c r="O619" i="9"/>
  <c r="Z619" i="9"/>
  <c r="J615" i="9"/>
  <c r="U615" i="9"/>
  <c r="H620" i="9"/>
  <c r="S620" i="9"/>
  <c r="H622" i="9"/>
  <c r="S622" i="9"/>
  <c r="G617" i="9"/>
  <c r="R617" i="9"/>
  <c r="J617" i="9"/>
  <c r="U617" i="9"/>
  <c r="M619" i="9"/>
  <c r="X619" i="9"/>
  <c r="N617" i="9"/>
  <c r="Y617" i="9"/>
  <c r="L611" i="9"/>
  <c r="W611" i="9"/>
  <c r="I623" i="9"/>
  <c r="T623" i="9"/>
  <c r="G615" i="9"/>
  <c r="R615" i="9"/>
  <c r="K622" i="9"/>
  <c r="V622" i="9"/>
  <c r="H617" i="9"/>
  <c r="S617" i="9"/>
  <c r="L612" i="9"/>
  <c r="W612" i="9"/>
  <c r="F617" i="9"/>
  <c r="Q617" i="9"/>
  <c r="O623" i="9"/>
  <c r="Z623" i="9"/>
  <c r="J614" i="9"/>
  <c r="U614" i="9"/>
  <c r="F613" i="9"/>
  <c r="Q613" i="9"/>
  <c r="M622" i="9"/>
  <c r="X622" i="9"/>
  <c r="F618" i="9"/>
  <c r="Q618" i="9"/>
  <c r="H626" i="9"/>
  <c r="S626" i="9"/>
  <c r="N626" i="9"/>
  <c r="Y626" i="9"/>
  <c r="L625" i="9"/>
  <c r="W625" i="9"/>
  <c r="H613" i="9"/>
  <c r="S613" i="9"/>
  <c r="L623" i="9"/>
  <c r="W623" i="9"/>
  <c r="J616" i="9"/>
  <c r="U616" i="9"/>
  <c r="G626" i="9"/>
  <c r="R626" i="9"/>
  <c r="L614" i="9"/>
  <c r="W614" i="9"/>
  <c r="I624" i="9"/>
  <c r="T624" i="9"/>
  <c r="N614" i="9"/>
  <c r="Y614" i="9"/>
  <c r="O611" i="9"/>
  <c r="Z611" i="9"/>
  <c r="J620" i="9"/>
  <c r="U620" i="9"/>
  <c r="K612" i="9"/>
  <c r="V612" i="9"/>
  <c r="M621" i="9"/>
  <c r="X621" i="9"/>
  <c r="M625" i="9"/>
  <c r="X625" i="9"/>
  <c r="H614" i="9"/>
  <c r="S614" i="9"/>
  <c r="O622" i="9"/>
  <c r="Z622" i="9"/>
  <c r="H616" i="9"/>
  <c r="S616" i="9"/>
  <c r="O625" i="9"/>
  <c r="Z625" i="9"/>
  <c r="K626" i="9"/>
  <c r="V626" i="9"/>
  <c r="K613" i="9"/>
  <c r="V613" i="9"/>
  <c r="F614" i="9"/>
  <c r="Q614" i="9"/>
  <c r="O614" i="9"/>
  <c r="Z614" i="9"/>
  <c r="I615" i="9"/>
  <c r="T615" i="9"/>
  <c r="O612" i="9"/>
  <c r="Z612" i="9"/>
  <c r="G611" i="9"/>
  <c r="R611" i="9"/>
  <c r="M614" i="9"/>
  <c r="X614" i="9"/>
  <c r="H618" i="9"/>
  <c r="S618" i="9"/>
  <c r="K615" i="9"/>
  <c r="V615" i="9"/>
  <c r="I622" i="9"/>
  <c r="T622" i="9"/>
  <c r="K617" i="9"/>
  <c r="V617" i="9"/>
  <c r="N625" i="9"/>
  <c r="Y625" i="9"/>
  <c r="J613" i="9"/>
  <c r="U613" i="9"/>
  <c r="N621" i="9"/>
  <c r="Y621" i="9"/>
  <c r="M612" i="9"/>
  <c r="X612" i="9"/>
  <c r="H611" i="9"/>
  <c r="S611" i="9"/>
  <c r="K611" i="9"/>
  <c r="V611" i="9"/>
  <c r="F615" i="9"/>
  <c r="Q615" i="9"/>
  <c r="F625" i="9"/>
  <c r="Q625" i="9"/>
  <c r="O615" i="9"/>
  <c r="Z615" i="9"/>
  <c r="N624" i="9"/>
  <c r="Y624" i="9"/>
  <c r="G613" i="9"/>
  <c r="R613" i="9"/>
  <c r="L616" i="9"/>
  <c r="W616" i="9"/>
  <c r="I612" i="9"/>
  <c r="T612" i="9"/>
  <c r="G619" i="9"/>
  <c r="R619" i="9"/>
  <c r="K618" i="9"/>
  <c r="V618" i="9"/>
  <c r="L617" i="9"/>
  <c r="W617" i="9"/>
  <c r="G621" i="9"/>
  <c r="R621" i="9"/>
  <c r="L624" i="9"/>
  <c r="W624" i="9"/>
  <c r="J612" i="9"/>
  <c r="U612" i="9"/>
  <c r="I621" i="9"/>
  <c r="T621" i="9"/>
  <c r="I611" i="9"/>
  <c r="T611" i="9"/>
  <c r="I616" i="9"/>
  <c r="T616" i="9"/>
  <c r="N619" i="9"/>
  <c r="Y619" i="9"/>
  <c r="M618" i="9"/>
  <c r="X618" i="9"/>
  <c r="K625" i="9"/>
  <c r="V625" i="9"/>
  <c r="F624" i="9"/>
  <c r="Q624" i="9"/>
  <c r="O617" i="9"/>
  <c r="Z617" i="9"/>
  <c r="J621" i="9"/>
  <c r="U621" i="9"/>
  <c r="O621" i="9"/>
  <c r="Z621" i="9"/>
  <c r="N612" i="9"/>
  <c r="Y612" i="9"/>
  <c r="N620" i="9"/>
  <c r="Y620" i="9"/>
  <c r="K619" i="9"/>
  <c r="V619" i="9"/>
  <c r="F623" i="9"/>
  <c r="Q623" i="9"/>
  <c r="G625" i="9"/>
  <c r="R625" i="9"/>
  <c r="H619" i="9"/>
  <c r="S619" i="9"/>
  <c r="G624" i="9"/>
  <c r="R624" i="9"/>
  <c r="O618" i="9"/>
  <c r="Z618" i="9"/>
  <c r="F612" i="9"/>
  <c r="Q612" i="9"/>
  <c r="H615" i="9"/>
  <c r="S615" i="9"/>
  <c r="N623" i="9"/>
  <c r="Y623" i="9"/>
  <c r="N618" i="9"/>
  <c r="Y618" i="9"/>
  <c r="L613" i="9"/>
  <c r="W613" i="9"/>
  <c r="G623" i="9"/>
  <c r="R623" i="9"/>
  <c r="I620" i="9"/>
  <c r="T620" i="9"/>
  <c r="J618" i="9"/>
  <c r="U618" i="9"/>
  <c r="L615" i="9"/>
  <c r="W615" i="9"/>
  <c r="I625" i="9"/>
  <c r="T625" i="9"/>
  <c r="M624" i="9"/>
  <c r="X624" i="9"/>
  <c r="M626" i="9"/>
  <c r="X626" i="9"/>
  <c r="N622" i="9"/>
  <c r="Y622" i="9"/>
  <c r="M611" i="9"/>
  <c r="X611" i="9"/>
  <c r="G622" i="9"/>
  <c r="R622" i="9"/>
  <c r="I626" i="9"/>
  <c r="T626" i="9"/>
  <c r="L621" i="9"/>
  <c r="W621" i="9"/>
  <c r="F611" i="9"/>
  <c r="Q611" i="9"/>
  <c r="L619" i="9"/>
  <c r="W619" i="9"/>
  <c r="J622" i="9"/>
  <c r="U622" i="9"/>
  <c r="G612" i="9"/>
  <c r="R612" i="9"/>
  <c r="K614" i="9"/>
  <c r="V614" i="9"/>
  <c r="L620" i="9"/>
  <c r="W620" i="9"/>
  <c r="J611" i="9"/>
  <c r="U611" i="9"/>
  <c r="O626" i="9"/>
  <c r="Z626" i="9"/>
  <c r="M623" i="9"/>
  <c r="X623" i="9"/>
  <c r="F616" i="9"/>
  <c r="Q616" i="9"/>
  <c r="J624" i="9"/>
  <c r="U624" i="9"/>
  <c r="H621" i="9"/>
  <c r="S621" i="9"/>
  <c r="O620" i="9"/>
  <c r="Z620" i="9"/>
  <c r="M620" i="9"/>
  <c r="X620" i="9"/>
  <c r="I617" i="9"/>
  <c r="T617" i="9"/>
  <c r="K624" i="9"/>
  <c r="V624" i="9"/>
  <c r="G618" i="9"/>
  <c r="R618" i="9"/>
  <c r="M615" i="9"/>
  <c r="X615" i="9"/>
  <c r="M617" i="9"/>
  <c r="X617" i="9"/>
  <c r="G614" i="9"/>
  <c r="R614" i="9"/>
  <c r="F626" i="9"/>
  <c r="Q626" i="9"/>
  <c r="J372" i="9"/>
  <c r="U372" i="9"/>
  <c r="K374" i="9"/>
  <c r="V374" i="9"/>
  <c r="L376" i="9"/>
  <c r="W376" i="9"/>
  <c r="N378" i="9"/>
  <c r="Y378" i="9"/>
  <c r="O380" i="9"/>
  <c r="Z380" i="9"/>
  <c r="F383" i="9"/>
  <c r="Q383" i="9"/>
  <c r="H385" i="9"/>
  <c r="S385" i="9"/>
  <c r="G372" i="9"/>
  <c r="R372" i="9"/>
  <c r="K378" i="9"/>
  <c r="V378" i="9"/>
  <c r="I383" i="9"/>
  <c r="T383" i="9"/>
  <c r="F372" i="9"/>
  <c r="Q372" i="9"/>
  <c r="G374" i="9"/>
  <c r="R374" i="9"/>
  <c r="H376" i="9"/>
  <c r="S376" i="9"/>
  <c r="J378" i="9"/>
  <c r="U378" i="9"/>
  <c r="K380" i="9"/>
  <c r="V380" i="9"/>
  <c r="L382" i="9"/>
  <c r="W382" i="9"/>
  <c r="N384" i="9"/>
  <c r="Y384" i="9"/>
  <c r="O386" i="9"/>
  <c r="Z386" i="9"/>
  <c r="H373" i="9"/>
  <c r="S373" i="9"/>
  <c r="J376" i="9"/>
  <c r="U376" i="9"/>
  <c r="L379" i="9"/>
  <c r="W379" i="9"/>
  <c r="N383" i="9"/>
  <c r="Y383" i="9"/>
  <c r="H371" i="9"/>
  <c r="S371" i="9"/>
  <c r="M379" i="9"/>
  <c r="X379" i="9"/>
  <c r="N372" i="9"/>
  <c r="Y372" i="9"/>
  <c r="J383" i="9"/>
  <c r="U383" i="9"/>
  <c r="G378" i="9"/>
  <c r="R378" i="9"/>
  <c r="L386" i="9"/>
  <c r="W386" i="9"/>
  <c r="L378" i="9"/>
  <c r="W378" i="9"/>
  <c r="O374" i="9"/>
  <c r="Z374" i="9"/>
  <c r="I382" i="9"/>
  <c r="T382" i="9"/>
  <c r="O375" i="9"/>
  <c r="Z375" i="9"/>
  <c r="G383" i="9"/>
  <c r="R383" i="9"/>
  <c r="M386" i="9"/>
  <c r="X386" i="9"/>
  <c r="I380" i="9"/>
  <c r="T380" i="9"/>
  <c r="O373" i="9"/>
  <c r="Z373" i="9"/>
  <c r="I378" i="9"/>
  <c r="T378" i="9"/>
  <c r="I376" i="9"/>
  <c r="T376" i="9"/>
  <c r="G381" i="9"/>
  <c r="R381" i="9"/>
  <c r="K371" i="9"/>
  <c r="V371" i="9"/>
  <c r="O372" i="9"/>
  <c r="Z372" i="9"/>
  <c r="L375" i="9"/>
  <c r="W375" i="9"/>
  <c r="H378" i="9"/>
  <c r="S378" i="9"/>
  <c r="J381" i="9"/>
  <c r="U381" i="9"/>
  <c r="G384" i="9"/>
  <c r="R384" i="9"/>
  <c r="N386" i="9"/>
  <c r="Y386" i="9"/>
  <c r="G380" i="9"/>
  <c r="R380" i="9"/>
  <c r="J385" i="9"/>
  <c r="U385" i="9"/>
  <c r="L373" i="9"/>
  <c r="W373" i="9"/>
  <c r="N376" i="9"/>
  <c r="Y376" i="9"/>
  <c r="J379" i="9"/>
  <c r="U379" i="9"/>
  <c r="G382" i="9"/>
  <c r="R382" i="9"/>
  <c r="I385" i="9"/>
  <c r="T385" i="9"/>
  <c r="L371" i="9"/>
  <c r="W371" i="9"/>
  <c r="I375" i="9"/>
  <c r="T375" i="9"/>
  <c r="L380" i="9"/>
  <c r="W380" i="9"/>
  <c r="F386" i="9"/>
  <c r="Q386" i="9"/>
  <c r="L377" i="9"/>
  <c r="W377" i="9"/>
  <c r="F377" i="9"/>
  <c r="Q377" i="9"/>
  <c r="N373" i="9"/>
  <c r="Y373" i="9"/>
  <c r="K384" i="9"/>
  <c r="V384" i="9"/>
  <c r="N380" i="9"/>
  <c r="Y380" i="9"/>
  <c r="K385" i="9"/>
  <c r="V385" i="9"/>
  <c r="K377" i="9"/>
  <c r="V377" i="9"/>
  <c r="O379" i="9"/>
  <c r="Z379" i="9"/>
  <c r="K383" i="9"/>
  <c r="V383" i="9"/>
  <c r="K375" i="9"/>
  <c r="V375" i="9"/>
  <c r="G375" i="9"/>
  <c r="R375" i="9"/>
  <c r="G373" i="9"/>
  <c r="R373" i="9"/>
  <c r="I384" i="9"/>
  <c r="T384" i="9"/>
  <c r="G371" i="9"/>
  <c r="R371" i="9"/>
  <c r="J373" i="9"/>
  <c r="U373" i="9"/>
  <c r="G376" i="9"/>
  <c r="R376" i="9"/>
  <c r="I379" i="9"/>
  <c r="T379" i="9"/>
  <c r="F382" i="9"/>
  <c r="Q382" i="9"/>
  <c r="L384" i="9"/>
  <c r="W384" i="9"/>
  <c r="H374" i="9"/>
  <c r="S374" i="9"/>
  <c r="H381" i="9"/>
  <c r="S381" i="9"/>
  <c r="J371" i="9"/>
  <c r="U371" i="9"/>
  <c r="L374" i="9"/>
  <c r="W374" i="9"/>
  <c r="I377" i="9"/>
  <c r="T377" i="9"/>
  <c r="F380" i="9"/>
  <c r="Q380" i="9"/>
  <c r="H383" i="9"/>
  <c r="S383" i="9"/>
  <c r="N385" i="9"/>
  <c r="Y385" i="9"/>
  <c r="L372" i="9"/>
  <c r="W372" i="9"/>
  <c r="O376" i="9"/>
  <c r="Z376" i="9"/>
  <c r="M381" i="9"/>
  <c r="X381" i="9"/>
  <c r="K386" i="9"/>
  <c r="V386" i="9"/>
  <c r="N381" i="9"/>
  <c r="Y381" i="9"/>
  <c r="H379" i="9"/>
  <c r="S379" i="9"/>
  <c r="F376" i="9"/>
  <c r="Q376" i="9"/>
  <c r="H372" i="9"/>
  <c r="S372" i="9"/>
  <c r="O382" i="9"/>
  <c r="Z382" i="9"/>
  <c r="O383" i="9"/>
  <c r="Z383" i="9"/>
  <c r="I374" i="9"/>
  <c r="T374" i="9"/>
  <c r="M376" i="9"/>
  <c r="X376" i="9"/>
  <c r="O381" i="9"/>
  <c r="Z381" i="9"/>
  <c r="I372" i="9"/>
  <c r="T372" i="9"/>
  <c r="O371" i="9"/>
  <c r="Z371" i="9"/>
  <c r="O377" i="9"/>
  <c r="Z377" i="9"/>
  <c r="K381" i="9"/>
  <c r="V381" i="9"/>
  <c r="M377" i="9"/>
  <c r="X377" i="9"/>
  <c r="J377" i="9"/>
  <c r="U377" i="9"/>
  <c r="O378" i="9"/>
  <c r="Z378" i="9"/>
  <c r="N374" i="9"/>
  <c r="Y374" i="9"/>
  <c r="G386" i="9"/>
  <c r="R386" i="9"/>
  <c r="L385" i="9"/>
  <c r="W385" i="9"/>
  <c r="G377" i="9"/>
  <c r="R377" i="9"/>
  <c r="F374" i="9"/>
  <c r="Q374" i="9"/>
  <c r="N379" i="9"/>
  <c r="Y379" i="9"/>
  <c r="M385" i="9"/>
  <c r="X385" i="9"/>
  <c r="H382" i="9"/>
  <c r="S382" i="9"/>
  <c r="H375" i="9"/>
  <c r="S375" i="9"/>
  <c r="F381" i="9"/>
  <c r="Q381" i="9"/>
  <c r="J386" i="9"/>
  <c r="U386" i="9"/>
  <c r="F378" i="9"/>
  <c r="Q378" i="9"/>
  <c r="I373" i="9"/>
  <c r="T373" i="9"/>
  <c r="I381" i="9"/>
  <c r="T381" i="9"/>
  <c r="J374" i="9"/>
  <c r="U374" i="9"/>
  <c r="M380" i="9"/>
  <c r="X380" i="9"/>
  <c r="K373" i="9"/>
  <c r="V373" i="9"/>
  <c r="M384" i="9"/>
  <c r="X384" i="9"/>
  <c r="M374" i="9"/>
  <c r="X374" i="9"/>
  <c r="F375" i="9"/>
  <c r="Q375" i="9"/>
  <c r="J380" i="9"/>
  <c r="U380" i="9"/>
  <c r="H386" i="9"/>
  <c r="S386" i="9"/>
  <c r="J384" i="9"/>
  <c r="U384" i="9"/>
  <c r="M375" i="9"/>
  <c r="X375" i="9"/>
  <c r="L381" i="9"/>
  <c r="W381" i="9"/>
  <c r="F371" i="9"/>
  <c r="Q371" i="9"/>
  <c r="F379" i="9"/>
  <c r="Q379" i="9"/>
  <c r="J375" i="9"/>
  <c r="U375" i="9"/>
  <c r="M371" i="9"/>
  <c r="X371" i="9"/>
  <c r="K376" i="9"/>
  <c r="V376" i="9"/>
  <c r="G379" i="9"/>
  <c r="R379" i="9"/>
  <c r="G385" i="9"/>
  <c r="R385" i="9"/>
  <c r="K379" i="9"/>
  <c r="V379" i="9"/>
  <c r="I371" i="9"/>
  <c r="T371" i="9"/>
  <c r="H377" i="9"/>
  <c r="S377" i="9"/>
  <c r="K382" i="9"/>
  <c r="V382" i="9"/>
  <c r="N375" i="9"/>
  <c r="Y375" i="9"/>
  <c r="K372" i="9"/>
  <c r="V372" i="9"/>
  <c r="N377" i="9"/>
  <c r="Y377" i="9"/>
  <c r="M383" i="9"/>
  <c r="X383" i="9"/>
  <c r="M373" i="9"/>
  <c r="X373" i="9"/>
  <c r="N382" i="9"/>
  <c r="Y382" i="9"/>
  <c r="F384" i="9"/>
  <c r="Q384" i="9"/>
  <c r="H380" i="9"/>
  <c r="S380" i="9"/>
  <c r="F385" i="9"/>
  <c r="Q385" i="9"/>
  <c r="M372" i="9"/>
  <c r="X372" i="9"/>
  <c r="M378" i="9"/>
  <c r="X378" i="9"/>
  <c r="M382" i="9"/>
  <c r="X382" i="9"/>
  <c r="N371" i="9"/>
  <c r="Y371" i="9"/>
  <c r="L383" i="9"/>
  <c r="W383" i="9"/>
  <c r="F373" i="9"/>
  <c r="Q373" i="9"/>
  <c r="H384" i="9"/>
  <c r="S384" i="9"/>
  <c r="O384" i="9"/>
  <c r="Z384" i="9"/>
  <c r="J382" i="9"/>
  <c r="U382" i="9"/>
  <c r="I386" i="9"/>
  <c r="T386" i="9"/>
  <c r="O385" i="9"/>
  <c r="Z385" i="9"/>
  <c r="F213" i="9"/>
  <c r="Q213" i="9"/>
  <c r="J219" i="9"/>
  <c r="U219" i="9"/>
  <c r="N225" i="9"/>
  <c r="Y225" i="9"/>
  <c r="H218" i="9"/>
  <c r="S218" i="9"/>
  <c r="L224" i="9"/>
  <c r="W224" i="9"/>
  <c r="L220" i="9"/>
  <c r="W220" i="9"/>
  <c r="H222" i="9"/>
  <c r="S222" i="9"/>
  <c r="J215" i="9"/>
  <c r="U215" i="9"/>
  <c r="N213" i="9"/>
  <c r="Y213" i="9"/>
  <c r="J224" i="9"/>
  <c r="U224" i="9"/>
  <c r="F218" i="9"/>
  <c r="Q218" i="9"/>
  <c r="L211" i="9"/>
  <c r="W211" i="9"/>
  <c r="I223" i="9"/>
  <c r="T223" i="9"/>
  <c r="O216" i="9"/>
  <c r="Z216" i="9"/>
  <c r="I226" i="9"/>
  <c r="T226" i="9"/>
  <c r="O219" i="9"/>
  <c r="Z219" i="9"/>
  <c r="K213" i="9"/>
  <c r="V213" i="9"/>
  <c r="J222" i="9"/>
  <c r="U222" i="9"/>
  <c r="F216" i="9"/>
  <c r="Q216" i="9"/>
  <c r="J211" i="9"/>
  <c r="U211" i="9"/>
  <c r="I221" i="9"/>
  <c r="T221" i="9"/>
  <c r="O214" i="9"/>
  <c r="Z214" i="9"/>
  <c r="I224" i="9"/>
  <c r="T224" i="9"/>
  <c r="O217" i="9"/>
  <c r="Z217" i="9"/>
  <c r="K211" i="9"/>
  <c r="V211" i="9"/>
  <c r="N216" i="9"/>
  <c r="Y216" i="9"/>
  <c r="G222" i="9"/>
  <c r="R222" i="9"/>
  <c r="G225" i="9"/>
  <c r="R225" i="9"/>
  <c r="I212" i="9"/>
  <c r="T212" i="9"/>
  <c r="K220" i="9"/>
  <c r="V220" i="9"/>
  <c r="N226" i="9"/>
  <c r="Y226" i="9"/>
  <c r="I219" i="9"/>
  <c r="T219" i="9"/>
  <c r="H225" i="9"/>
  <c r="S225" i="9"/>
  <c r="J212" i="9"/>
  <c r="U212" i="9"/>
  <c r="M217" i="9"/>
  <c r="X217" i="9"/>
  <c r="M220" i="9"/>
  <c r="X220" i="9"/>
  <c r="J218" i="9"/>
  <c r="U218" i="9"/>
  <c r="M226" i="9"/>
  <c r="X226" i="9"/>
  <c r="H217" i="9"/>
  <c r="S217" i="9"/>
  <c r="O212" i="9"/>
  <c r="Z212" i="9"/>
  <c r="F221" i="9"/>
  <c r="Q221" i="9"/>
  <c r="N223" i="9"/>
  <c r="Y223" i="9"/>
  <c r="F225" i="9"/>
  <c r="Q225" i="9"/>
  <c r="N222" i="9"/>
  <c r="Y222" i="9"/>
  <c r="O224" i="9"/>
  <c r="Z224" i="9"/>
  <c r="G223" i="9"/>
  <c r="R223" i="9"/>
  <c r="N220" i="9"/>
  <c r="Y220" i="9"/>
  <c r="O222" i="9"/>
  <c r="Z222" i="9"/>
  <c r="G221" i="9"/>
  <c r="R221" i="9"/>
  <c r="L213" i="9"/>
  <c r="W213" i="9"/>
  <c r="K215" i="9"/>
  <c r="V215" i="9"/>
  <c r="F214" i="9"/>
  <c r="Q214" i="9"/>
  <c r="F211" i="9"/>
  <c r="Q211" i="9"/>
  <c r="N224" i="9"/>
  <c r="Y224" i="9"/>
  <c r="K222" i="9"/>
  <c r="V222" i="9"/>
  <c r="H216" i="9"/>
  <c r="S216" i="9"/>
  <c r="H224" i="9"/>
  <c r="S224" i="9"/>
  <c r="N219" i="9"/>
  <c r="Y219" i="9"/>
  <c r="H214" i="9"/>
  <c r="S214" i="9"/>
  <c r="F219" i="9"/>
  <c r="Q219" i="9"/>
  <c r="L218" i="9"/>
  <c r="W218" i="9"/>
  <c r="L226" i="9"/>
  <c r="W226" i="9"/>
  <c r="L219" i="9"/>
  <c r="W219" i="9"/>
  <c r="N211" i="9"/>
  <c r="Y211" i="9"/>
  <c r="G220" i="9"/>
  <c r="R220" i="9"/>
  <c r="G212" i="9"/>
  <c r="R212" i="9"/>
  <c r="I218" i="9"/>
  <c r="T218" i="9"/>
  <c r="L225" i="9"/>
  <c r="W225" i="9"/>
  <c r="L217" i="9"/>
  <c r="W217" i="9"/>
  <c r="G226" i="9"/>
  <c r="R226" i="9"/>
  <c r="G218" i="9"/>
  <c r="R218" i="9"/>
  <c r="O225" i="9"/>
  <c r="Z225" i="9"/>
  <c r="I216" i="9"/>
  <c r="T216" i="9"/>
  <c r="H223" i="9"/>
  <c r="S223" i="9"/>
  <c r="I225" i="9"/>
  <c r="T225" i="9"/>
  <c r="O221" i="9"/>
  <c r="Z221" i="9"/>
  <c r="H215" i="9"/>
  <c r="S215" i="9"/>
  <c r="G217" i="9"/>
  <c r="R217" i="9"/>
  <c r="K225" i="9"/>
  <c r="V225" i="9"/>
  <c r="N218" i="9"/>
  <c r="Y218" i="9"/>
  <c r="O220" i="9"/>
  <c r="Z220" i="9"/>
  <c r="K217" i="9"/>
  <c r="V217" i="9"/>
  <c r="M223" i="9"/>
  <c r="X223" i="9"/>
  <c r="L223" i="9"/>
  <c r="W223" i="9"/>
  <c r="I222" i="9"/>
  <c r="T222" i="9"/>
  <c r="N217" i="9"/>
  <c r="Y217" i="9"/>
  <c r="J213" i="9"/>
  <c r="U213" i="9"/>
  <c r="J221" i="9"/>
  <c r="U221" i="9"/>
  <c r="J217" i="9"/>
  <c r="U217" i="9"/>
  <c r="J225" i="9"/>
  <c r="U225" i="9"/>
  <c r="N221" i="9"/>
  <c r="Y221" i="9"/>
  <c r="F226" i="9"/>
  <c r="Q226" i="9"/>
  <c r="J216" i="9"/>
  <c r="U216" i="9"/>
  <c r="K226" i="9"/>
  <c r="V226" i="9"/>
  <c r="K218" i="9"/>
  <c r="V218" i="9"/>
  <c r="M224" i="9"/>
  <c r="X224" i="9"/>
  <c r="M216" i="9"/>
  <c r="X216" i="9"/>
  <c r="F224" i="9"/>
  <c r="Q224" i="9"/>
  <c r="J214" i="9"/>
  <c r="U214" i="9"/>
  <c r="K224" i="9"/>
  <c r="V224" i="9"/>
  <c r="K216" i="9"/>
  <c r="V216" i="9"/>
  <c r="M222" i="9"/>
  <c r="X222" i="9"/>
  <c r="M214" i="9"/>
  <c r="X214" i="9"/>
  <c r="F220" i="9"/>
  <c r="Q220" i="9"/>
  <c r="O218" i="9"/>
  <c r="Z218" i="9"/>
  <c r="M218" i="9"/>
  <c r="X218" i="9"/>
  <c r="O226" i="9"/>
  <c r="Z226" i="9"/>
  <c r="J220" i="9"/>
  <c r="U220" i="9"/>
  <c r="G219" i="9"/>
  <c r="R219" i="9"/>
  <c r="L215" i="9"/>
  <c r="W215" i="9"/>
  <c r="K214" i="9"/>
  <c r="V214" i="9"/>
  <c r="I214" i="9"/>
  <c r="T214" i="9"/>
  <c r="I217" i="9"/>
  <c r="T217" i="9"/>
  <c r="L212" i="9"/>
  <c r="W212" i="9"/>
  <c r="O215" i="9"/>
  <c r="Z215" i="9"/>
  <c r="G211" i="9"/>
  <c r="R211" i="9"/>
  <c r="F215" i="9"/>
  <c r="Q215" i="9"/>
  <c r="F223" i="9"/>
  <c r="Q223" i="9"/>
  <c r="F217" i="9"/>
  <c r="Q217" i="9"/>
  <c r="N214" i="9"/>
  <c r="Y214" i="9"/>
  <c r="I215" i="9"/>
  <c r="T215" i="9"/>
  <c r="G215" i="9"/>
  <c r="R215" i="9"/>
  <c r="N212" i="9"/>
  <c r="Y212" i="9"/>
  <c r="I213" i="9"/>
  <c r="T213" i="9"/>
  <c r="G213" i="9"/>
  <c r="R213" i="9"/>
  <c r="M215" i="9"/>
  <c r="X215" i="9"/>
  <c r="G214" i="9"/>
  <c r="R214" i="9"/>
  <c r="M212" i="9"/>
  <c r="X212" i="9"/>
  <c r="I211" i="9"/>
  <c r="T211" i="9"/>
  <c r="I220" i="9"/>
  <c r="T220" i="9"/>
  <c r="H226" i="9"/>
  <c r="S226" i="9"/>
  <c r="H221" i="9"/>
  <c r="S221" i="9"/>
  <c r="K221" i="9"/>
  <c r="V221" i="9"/>
  <c r="M219" i="9"/>
  <c r="X219" i="9"/>
  <c r="H212" i="9"/>
  <c r="S212" i="9"/>
  <c r="M225" i="9"/>
  <c r="X225" i="9"/>
  <c r="F212" i="9"/>
  <c r="Q212" i="9"/>
  <c r="J223" i="9"/>
  <c r="U223" i="9"/>
  <c r="H219" i="9"/>
  <c r="S219" i="9"/>
  <c r="L221" i="9"/>
  <c r="W221" i="9"/>
  <c r="G216" i="9"/>
  <c r="R216" i="9"/>
  <c r="L216" i="9"/>
  <c r="W216" i="9"/>
  <c r="H220" i="9"/>
  <c r="S220" i="9"/>
  <c r="M213" i="9"/>
  <c r="X213" i="9"/>
  <c r="H211" i="9"/>
  <c r="S211" i="9"/>
  <c r="J226" i="9"/>
  <c r="U226" i="9"/>
  <c r="K223" i="9"/>
  <c r="V223" i="9"/>
  <c r="O223" i="9"/>
  <c r="Z223" i="9"/>
  <c r="L214" i="9"/>
  <c r="W214" i="9"/>
  <c r="N215" i="9"/>
  <c r="Y215" i="9"/>
  <c r="H213" i="9"/>
  <c r="S213" i="9"/>
  <c r="O211" i="9"/>
  <c r="Z211" i="9"/>
  <c r="M211" i="9"/>
  <c r="X211" i="9"/>
  <c r="K212" i="9"/>
  <c r="V212" i="9"/>
  <c r="F222" i="9"/>
  <c r="Q222" i="9"/>
  <c r="O213" i="9"/>
  <c r="Z213" i="9"/>
  <c r="L222" i="9"/>
  <c r="W222" i="9"/>
  <c r="M221" i="9"/>
  <c r="X221" i="9"/>
  <c r="K219" i="9"/>
  <c r="V219" i="9"/>
  <c r="G224" i="9"/>
  <c r="R224" i="9"/>
  <c r="P82" i="9"/>
  <c r="P80" i="9"/>
  <c r="P112" i="9"/>
  <c r="P100" i="9"/>
  <c r="P111" i="9"/>
  <c r="P102" i="9"/>
  <c r="P107" i="9"/>
  <c r="P105" i="9"/>
  <c r="M183" i="9"/>
  <c r="X183" i="9"/>
  <c r="J181" i="9"/>
  <c r="U181" i="9"/>
  <c r="H194" i="9"/>
  <c r="S194" i="9"/>
  <c r="H184" i="9"/>
  <c r="S184" i="9"/>
  <c r="I187" i="9"/>
  <c r="T187" i="9"/>
  <c r="F182" i="9"/>
  <c r="Q182" i="9"/>
  <c r="L189" i="9"/>
  <c r="W189" i="9"/>
  <c r="O179" i="9"/>
  <c r="Z179" i="9"/>
  <c r="K185" i="9"/>
  <c r="V185" i="9"/>
  <c r="K179" i="9"/>
  <c r="V179" i="9"/>
  <c r="K184" i="9"/>
  <c r="V184" i="9"/>
  <c r="H182" i="9"/>
  <c r="S182" i="9"/>
  <c r="F179" i="9"/>
  <c r="Q179" i="9"/>
  <c r="J187" i="9"/>
  <c r="U187" i="9"/>
  <c r="K190" i="9"/>
  <c r="V190" i="9"/>
  <c r="J180" i="9"/>
  <c r="U180" i="9"/>
  <c r="F188" i="9"/>
  <c r="Q188" i="9"/>
  <c r="O180" i="9"/>
  <c r="Z180" i="9"/>
  <c r="F194" i="9"/>
  <c r="Q194" i="9"/>
  <c r="F192" i="9"/>
  <c r="Q192" i="9"/>
  <c r="I185" i="9"/>
  <c r="T185" i="9"/>
  <c r="F183" i="9"/>
  <c r="Q183" i="9"/>
  <c r="M181" i="9"/>
  <c r="X181" i="9"/>
  <c r="L190" i="9"/>
  <c r="W190" i="9"/>
  <c r="M193" i="9"/>
  <c r="X193" i="9"/>
  <c r="M194" i="9"/>
  <c r="X194" i="9"/>
  <c r="J186" i="9"/>
  <c r="U186" i="9"/>
  <c r="L193" i="9"/>
  <c r="W193" i="9"/>
  <c r="L187" i="9"/>
  <c r="W187" i="9"/>
  <c r="L185" i="9"/>
  <c r="W185" i="9"/>
  <c r="O182" i="9"/>
  <c r="Z182" i="9"/>
  <c r="H180" i="9"/>
  <c r="S180" i="9"/>
  <c r="O186" i="9"/>
  <c r="Z186" i="9"/>
  <c r="N187" i="9"/>
  <c r="Y187" i="9"/>
  <c r="M185" i="9"/>
  <c r="X185" i="9"/>
  <c r="N185" i="9"/>
  <c r="Y185" i="9"/>
  <c r="G185" i="9"/>
  <c r="R185" i="9"/>
  <c r="I186" i="9"/>
  <c r="T186" i="9"/>
  <c r="M190" i="9"/>
  <c r="X190" i="9"/>
  <c r="O193" i="9"/>
  <c r="Z193" i="9"/>
  <c r="G194" i="9"/>
  <c r="R194" i="9"/>
  <c r="K186" i="9"/>
  <c r="V186" i="9"/>
  <c r="H188" i="9"/>
  <c r="S188" i="9"/>
  <c r="N186" i="9"/>
  <c r="Y186" i="9"/>
  <c r="L181" i="9"/>
  <c r="W181" i="9"/>
  <c r="G187" i="9"/>
  <c r="R187" i="9"/>
  <c r="G189" i="9"/>
  <c r="R189" i="9"/>
  <c r="K188" i="9"/>
  <c r="V188" i="9"/>
  <c r="J189" i="9"/>
  <c r="U189" i="9"/>
  <c r="G192" i="9"/>
  <c r="R192" i="9"/>
  <c r="H192" i="9"/>
  <c r="S192" i="9"/>
  <c r="O181" i="9"/>
  <c r="Z181" i="9"/>
  <c r="G183" i="9"/>
  <c r="R183" i="9"/>
  <c r="M179" i="9"/>
  <c r="X179" i="9"/>
  <c r="I184" i="9"/>
  <c r="T184" i="9"/>
  <c r="K192" i="9"/>
  <c r="V192" i="9"/>
  <c r="J193" i="9"/>
  <c r="U193" i="9"/>
  <c r="F181" i="9"/>
  <c r="Q181" i="9"/>
  <c r="G184" i="9"/>
  <c r="R184" i="9"/>
  <c r="L183" i="9"/>
  <c r="W183" i="9"/>
  <c r="H191" i="9"/>
  <c r="S191" i="9"/>
  <c r="K181" i="9"/>
  <c r="V181" i="9"/>
  <c r="O191" i="9"/>
  <c r="Z191" i="9"/>
  <c r="M182" i="9"/>
  <c r="X182" i="9"/>
  <c r="G190" i="9"/>
  <c r="R190" i="9"/>
  <c r="F191" i="9"/>
  <c r="Q191" i="9"/>
  <c r="J179" i="9"/>
  <c r="U179" i="9"/>
  <c r="N194" i="9"/>
  <c r="Y194" i="9"/>
  <c r="G180" i="9"/>
  <c r="R180" i="9"/>
  <c r="H187" i="9"/>
  <c r="S187" i="9"/>
  <c r="H189" i="9"/>
  <c r="S189" i="9"/>
  <c r="I181" i="9"/>
  <c r="T181" i="9"/>
  <c r="J185" i="9"/>
  <c r="U185" i="9"/>
  <c r="O192" i="9"/>
  <c r="Z192" i="9"/>
  <c r="L194" i="9"/>
  <c r="W194" i="9"/>
  <c r="O189" i="9"/>
  <c r="Z189" i="9"/>
  <c r="G191" i="9"/>
  <c r="R191" i="9"/>
  <c r="N188" i="9"/>
  <c r="Y188" i="9"/>
  <c r="I182" i="9"/>
  <c r="T182" i="9"/>
  <c r="M191" i="9"/>
  <c r="X191" i="9"/>
  <c r="L192" i="9"/>
  <c r="W192" i="9"/>
  <c r="J183" i="9"/>
  <c r="U183" i="9"/>
  <c r="L191" i="9"/>
  <c r="W191" i="9"/>
  <c r="N192" i="9"/>
  <c r="Y192" i="9"/>
  <c r="N180" i="9"/>
  <c r="Y180" i="9"/>
  <c r="N182" i="9"/>
  <c r="Y182" i="9"/>
  <c r="G179" i="9"/>
  <c r="R179" i="9"/>
  <c r="N183" i="9"/>
  <c r="Y183" i="9"/>
  <c r="I183" i="9"/>
  <c r="T183" i="9"/>
  <c r="N193" i="9"/>
  <c r="Y193" i="9"/>
  <c r="L182" i="9"/>
  <c r="W182" i="9"/>
  <c r="G193" i="9"/>
  <c r="R193" i="9"/>
  <c r="N184" i="9"/>
  <c r="Y184" i="9"/>
  <c r="J190" i="9"/>
  <c r="U190" i="9"/>
  <c r="H181" i="9"/>
  <c r="S181" i="9"/>
  <c r="H179" i="9"/>
  <c r="S179" i="9"/>
  <c r="O184" i="9"/>
  <c r="Z184" i="9"/>
  <c r="J188" i="9"/>
  <c r="U188" i="9"/>
  <c r="I190" i="9"/>
  <c r="T190" i="9"/>
  <c r="M187" i="9"/>
  <c r="X187" i="9"/>
  <c r="O188" i="9"/>
  <c r="Z188" i="9"/>
  <c r="K183" i="9"/>
  <c r="V183" i="9"/>
  <c r="G181" i="9"/>
  <c r="R181" i="9"/>
  <c r="O194" i="9"/>
  <c r="Z194" i="9"/>
  <c r="N189" i="9"/>
  <c r="Y189" i="9"/>
  <c r="F180" i="9"/>
  <c r="Q180" i="9"/>
  <c r="O185" i="9"/>
  <c r="Z185" i="9"/>
  <c r="F187" i="9"/>
  <c r="Q187" i="9"/>
  <c r="F185" i="9"/>
  <c r="Q185" i="9"/>
  <c r="M186" i="9"/>
  <c r="X186" i="9"/>
  <c r="K193" i="9"/>
  <c r="V193" i="9"/>
  <c r="J184" i="9"/>
  <c r="U184" i="9"/>
  <c r="N179" i="9"/>
  <c r="Y179" i="9"/>
  <c r="I191" i="9"/>
  <c r="T191" i="9"/>
  <c r="K191" i="9"/>
  <c r="V191" i="9"/>
  <c r="I179" i="9"/>
  <c r="T179" i="9"/>
  <c r="O190" i="9"/>
  <c r="Z190" i="9"/>
  <c r="N181" i="9"/>
  <c r="Y181" i="9"/>
  <c r="J194" i="9"/>
  <c r="U194" i="9"/>
  <c r="F186" i="9"/>
  <c r="Q186" i="9"/>
  <c r="H186" i="9"/>
  <c r="S186" i="9"/>
  <c r="L180" i="9"/>
  <c r="W180" i="9"/>
  <c r="K189" i="9"/>
  <c r="V189" i="9"/>
  <c r="N190" i="9"/>
  <c r="Y190" i="9"/>
  <c r="H190" i="9"/>
  <c r="S190" i="9"/>
  <c r="J191" i="9"/>
  <c r="U191" i="9"/>
  <c r="I180" i="9"/>
  <c r="T180" i="9"/>
  <c r="M180" i="9"/>
  <c r="X180" i="9"/>
  <c r="I193" i="9"/>
  <c r="T193" i="9"/>
  <c r="L186" i="9"/>
  <c r="W186" i="9"/>
  <c r="H183" i="9"/>
  <c r="S183" i="9"/>
  <c r="I192" i="9"/>
  <c r="T192" i="9"/>
  <c r="L188" i="9"/>
  <c r="W188" i="9"/>
  <c r="F189" i="9"/>
  <c r="Q189" i="9"/>
  <c r="M184" i="9"/>
  <c r="X184" i="9"/>
  <c r="K187" i="9"/>
  <c r="V187" i="9"/>
  <c r="G188" i="9"/>
  <c r="R188" i="9"/>
  <c r="H185" i="9"/>
  <c r="S185" i="9"/>
  <c r="O183" i="9"/>
  <c r="Z183" i="9"/>
  <c r="G186" i="9"/>
  <c r="R186" i="9"/>
  <c r="M189" i="9"/>
  <c r="X189" i="9"/>
  <c r="K180" i="9"/>
  <c r="V180" i="9"/>
  <c r="I194" i="9"/>
  <c r="T194" i="9"/>
  <c r="J192" i="9"/>
  <c r="U192" i="9"/>
  <c r="L184" i="9"/>
  <c r="W184" i="9"/>
  <c r="F193" i="9"/>
  <c r="Q193" i="9"/>
  <c r="M192" i="9"/>
  <c r="X192" i="9"/>
  <c r="M188" i="9"/>
  <c r="X188" i="9"/>
  <c r="N191" i="9"/>
  <c r="Y191" i="9"/>
  <c r="H193" i="9"/>
  <c r="S193" i="9"/>
  <c r="F184" i="9"/>
  <c r="Q184" i="9"/>
  <c r="G182" i="9"/>
  <c r="R182" i="9"/>
  <c r="K194" i="9"/>
  <c r="V194" i="9"/>
  <c r="I188" i="9"/>
  <c r="T188" i="9"/>
  <c r="J182" i="9"/>
  <c r="U182" i="9"/>
  <c r="I189" i="9"/>
  <c r="T189" i="9"/>
  <c r="K182" i="9"/>
  <c r="V182" i="9"/>
  <c r="F190" i="9"/>
  <c r="Q190" i="9"/>
  <c r="O187" i="9"/>
  <c r="Z187" i="9"/>
  <c r="L179" i="9"/>
  <c r="W179" i="9"/>
  <c r="L152" i="9"/>
  <c r="W152" i="9"/>
  <c r="N158" i="9"/>
  <c r="Y158" i="9"/>
  <c r="G149" i="9"/>
  <c r="R149" i="9"/>
  <c r="I155" i="9"/>
  <c r="T155" i="9"/>
  <c r="K161" i="9"/>
  <c r="V161" i="9"/>
  <c r="K154" i="9"/>
  <c r="V154" i="9"/>
  <c r="N152" i="9"/>
  <c r="Y152" i="9"/>
  <c r="M154" i="9"/>
  <c r="X154" i="9"/>
  <c r="M162" i="9"/>
  <c r="X162" i="9"/>
  <c r="G159" i="9"/>
  <c r="R159" i="9"/>
  <c r="F151" i="9"/>
  <c r="Q151" i="9"/>
  <c r="H157" i="9"/>
  <c r="S157" i="9"/>
  <c r="K147" i="9"/>
  <c r="V147" i="9"/>
  <c r="M153" i="9"/>
  <c r="X153" i="9"/>
  <c r="O159" i="9"/>
  <c r="Z159" i="9"/>
  <c r="I151" i="9"/>
  <c r="T151" i="9"/>
  <c r="I162" i="9"/>
  <c r="T162" i="9"/>
  <c r="I148" i="9"/>
  <c r="T148" i="9"/>
  <c r="K159" i="9"/>
  <c r="V159" i="9"/>
  <c r="M152" i="9"/>
  <c r="X152" i="9"/>
  <c r="J149" i="9"/>
  <c r="U149" i="9"/>
  <c r="L155" i="9"/>
  <c r="W155" i="9"/>
  <c r="N161" i="9"/>
  <c r="Y161" i="9"/>
  <c r="G152" i="9"/>
  <c r="R152" i="9"/>
  <c r="I158" i="9"/>
  <c r="T158" i="9"/>
  <c r="G148" i="9"/>
  <c r="R148" i="9"/>
  <c r="O155" i="9"/>
  <c r="Z155" i="9"/>
  <c r="N159" i="9"/>
  <c r="Y159" i="9"/>
  <c r="I156" i="9"/>
  <c r="T156" i="9"/>
  <c r="I161" i="9"/>
  <c r="T161" i="9"/>
  <c r="N147" i="9"/>
  <c r="Y147" i="9"/>
  <c r="F154" i="9"/>
  <c r="Q154" i="9"/>
  <c r="H160" i="9"/>
  <c r="S160" i="9"/>
  <c r="K150" i="9"/>
  <c r="V150" i="9"/>
  <c r="M156" i="9"/>
  <c r="X156" i="9"/>
  <c r="N160" i="9"/>
  <c r="Y160" i="9"/>
  <c r="K149" i="9"/>
  <c r="V149" i="9"/>
  <c r="L156" i="9"/>
  <c r="W156" i="9"/>
  <c r="G153" i="9"/>
  <c r="R153" i="9"/>
  <c r="K148" i="9"/>
  <c r="V148" i="9"/>
  <c r="F159" i="9"/>
  <c r="Q159" i="9"/>
  <c r="I149" i="9"/>
  <c r="T149" i="9"/>
  <c r="K155" i="9"/>
  <c r="V155" i="9"/>
  <c r="M161" i="9"/>
  <c r="X161" i="9"/>
  <c r="F152" i="9"/>
  <c r="Q152" i="9"/>
  <c r="J151" i="9"/>
  <c r="U151" i="9"/>
  <c r="O147" i="9"/>
  <c r="Z147" i="9"/>
  <c r="H161" i="9"/>
  <c r="S161" i="9"/>
  <c r="L159" i="9"/>
  <c r="W159" i="9"/>
  <c r="O152" i="9"/>
  <c r="Z152" i="9"/>
  <c r="J157" i="9"/>
  <c r="U157" i="9"/>
  <c r="M147" i="9"/>
  <c r="X147" i="9"/>
  <c r="O153" i="9"/>
  <c r="Z153" i="9"/>
  <c r="G160" i="9"/>
  <c r="R160" i="9"/>
  <c r="J150" i="9"/>
  <c r="U150" i="9"/>
  <c r="H148" i="9"/>
  <c r="S148" i="9"/>
  <c r="K162" i="9"/>
  <c r="V162" i="9"/>
  <c r="F158" i="9"/>
  <c r="Q158" i="9"/>
  <c r="J156" i="9"/>
  <c r="U156" i="9"/>
  <c r="J162" i="9"/>
  <c r="U162" i="9"/>
  <c r="N155" i="9"/>
  <c r="Y155" i="9"/>
  <c r="F162" i="9"/>
  <c r="Q162" i="9"/>
  <c r="I152" i="9"/>
  <c r="T152" i="9"/>
  <c r="K158" i="9"/>
  <c r="V158" i="9"/>
  <c r="N148" i="9"/>
  <c r="Y148" i="9"/>
  <c r="O160" i="9"/>
  <c r="Z160" i="9"/>
  <c r="M149" i="9"/>
  <c r="X149" i="9"/>
  <c r="L151" i="9"/>
  <c r="W151" i="9"/>
  <c r="H153" i="9"/>
  <c r="S153" i="9"/>
  <c r="F156" i="9"/>
  <c r="Q156" i="9"/>
  <c r="H154" i="9"/>
  <c r="S154" i="9"/>
  <c r="J160" i="9"/>
  <c r="U160" i="9"/>
  <c r="M150" i="9"/>
  <c r="X150" i="9"/>
  <c r="O156" i="9"/>
  <c r="Z156" i="9"/>
  <c r="H147" i="9"/>
  <c r="S147" i="9"/>
  <c r="M157" i="9"/>
  <c r="X157" i="9"/>
  <c r="H159" i="9"/>
  <c r="S159" i="9"/>
  <c r="G161" i="9"/>
  <c r="R161" i="9"/>
  <c r="F150" i="9"/>
  <c r="Q150" i="9"/>
  <c r="L149" i="9"/>
  <c r="W149" i="9"/>
  <c r="J152" i="9"/>
  <c r="U152" i="9"/>
  <c r="O148" i="9"/>
  <c r="Z148" i="9"/>
  <c r="L157" i="9"/>
  <c r="W157" i="9"/>
  <c r="J153" i="9"/>
  <c r="U153" i="9"/>
  <c r="N154" i="9"/>
  <c r="Y154" i="9"/>
  <c r="N150" i="9"/>
  <c r="Y150" i="9"/>
  <c r="I147" i="9"/>
  <c r="T147" i="9"/>
  <c r="J154" i="9"/>
  <c r="U154" i="9"/>
  <c r="H150" i="9"/>
  <c r="S150" i="9"/>
  <c r="J148" i="9"/>
  <c r="U148" i="9"/>
  <c r="H149" i="9"/>
  <c r="S149" i="9"/>
  <c r="L161" i="9"/>
  <c r="W161" i="9"/>
  <c r="H151" i="9"/>
  <c r="S151" i="9"/>
  <c r="O162" i="9"/>
  <c r="Z162" i="9"/>
  <c r="O157" i="9"/>
  <c r="Z157" i="9"/>
  <c r="L147" i="9"/>
  <c r="W147" i="9"/>
  <c r="F160" i="9"/>
  <c r="Q160" i="9"/>
  <c r="F148" i="9"/>
  <c r="Q148" i="9"/>
  <c r="M159" i="9"/>
  <c r="X159" i="9"/>
  <c r="K151" i="9"/>
  <c r="V151" i="9"/>
  <c r="G147" i="9"/>
  <c r="R147" i="9"/>
  <c r="O161" i="9"/>
  <c r="Z161" i="9"/>
  <c r="J158" i="9"/>
  <c r="U158" i="9"/>
  <c r="M160" i="9"/>
  <c r="X160" i="9"/>
  <c r="K156" i="9"/>
  <c r="V156" i="9"/>
  <c r="F147" i="9"/>
  <c r="Q147" i="9"/>
  <c r="I160" i="9"/>
  <c r="T160" i="9"/>
  <c r="N156" i="9"/>
  <c r="Y156" i="9"/>
  <c r="K157" i="9"/>
  <c r="V157" i="9"/>
  <c r="I153" i="9"/>
  <c r="T153" i="9"/>
  <c r="H162" i="9"/>
  <c r="S162" i="9"/>
  <c r="M158" i="9"/>
  <c r="X158" i="9"/>
  <c r="H155" i="9"/>
  <c r="S155" i="9"/>
  <c r="I154" i="9"/>
  <c r="T154" i="9"/>
  <c r="G150" i="9"/>
  <c r="R150" i="9"/>
  <c r="L160" i="9"/>
  <c r="W160" i="9"/>
  <c r="G157" i="9"/>
  <c r="R157" i="9"/>
  <c r="L153" i="9"/>
  <c r="W153" i="9"/>
  <c r="G151" i="9"/>
  <c r="R151" i="9"/>
  <c r="N162" i="9"/>
  <c r="Y162" i="9"/>
  <c r="G162" i="9"/>
  <c r="R162" i="9"/>
  <c r="L158" i="9"/>
  <c r="W158" i="9"/>
  <c r="G155" i="9"/>
  <c r="R155" i="9"/>
  <c r="J161" i="9"/>
  <c r="U161" i="9"/>
  <c r="O149" i="9"/>
  <c r="Z149" i="9"/>
  <c r="K160" i="9"/>
  <c r="V160" i="9"/>
  <c r="F157" i="9"/>
  <c r="Q157" i="9"/>
  <c r="K153" i="9"/>
  <c r="V153" i="9"/>
  <c r="H158" i="9"/>
  <c r="S158" i="9"/>
  <c r="L162" i="9"/>
  <c r="W162" i="9"/>
  <c r="O158" i="9"/>
  <c r="Z158" i="9"/>
  <c r="J155" i="9"/>
  <c r="U155" i="9"/>
  <c r="O151" i="9"/>
  <c r="Z151" i="9"/>
  <c r="F155" i="9"/>
  <c r="Q155" i="9"/>
  <c r="J159" i="9"/>
  <c r="U159" i="9"/>
  <c r="I157" i="9"/>
  <c r="T157" i="9"/>
  <c r="N153" i="9"/>
  <c r="Y153" i="9"/>
  <c r="I150" i="9"/>
  <c r="T150" i="9"/>
  <c r="N151" i="9"/>
  <c r="Y151" i="9"/>
  <c r="L148" i="9"/>
  <c r="W148" i="9"/>
  <c r="F161" i="9"/>
  <c r="Q161" i="9"/>
  <c r="F149" i="9"/>
  <c r="Q149" i="9"/>
  <c r="O150" i="9"/>
  <c r="Z150" i="9"/>
  <c r="H156" i="9"/>
  <c r="S156" i="9"/>
  <c r="M155" i="9"/>
  <c r="X155" i="9"/>
  <c r="F153" i="9"/>
  <c r="Q153" i="9"/>
  <c r="G158" i="9"/>
  <c r="R158" i="9"/>
  <c r="N157" i="9"/>
  <c r="Y157" i="9"/>
  <c r="J147" i="9"/>
  <c r="U147" i="9"/>
  <c r="G156" i="9"/>
  <c r="R156" i="9"/>
  <c r="H152" i="9"/>
  <c r="S152" i="9"/>
  <c r="G154" i="9"/>
  <c r="R154" i="9"/>
  <c r="N149" i="9"/>
  <c r="Y149" i="9"/>
  <c r="O154" i="9"/>
  <c r="Z154" i="9"/>
  <c r="L154" i="9"/>
  <c r="W154" i="9"/>
  <c r="M148" i="9"/>
  <c r="X148" i="9"/>
  <c r="L150" i="9"/>
  <c r="W150" i="9"/>
  <c r="K152" i="9"/>
  <c r="V152" i="9"/>
  <c r="I159" i="9"/>
  <c r="T159" i="9"/>
  <c r="M151" i="9"/>
  <c r="X151" i="9"/>
  <c r="P1087" i="9"/>
  <c r="P1084" i="9"/>
  <c r="N1060" i="9"/>
  <c r="Y1060" i="9"/>
  <c r="F1064" i="9"/>
  <c r="Q1064" i="9"/>
  <c r="H1067" i="9"/>
  <c r="S1067" i="9"/>
  <c r="J1070" i="9"/>
  <c r="U1070" i="9"/>
  <c r="L1073" i="9"/>
  <c r="W1073" i="9"/>
  <c r="O1060" i="9"/>
  <c r="Z1060" i="9"/>
  <c r="G1064" i="9"/>
  <c r="R1064" i="9"/>
  <c r="I1067" i="9"/>
  <c r="T1067" i="9"/>
  <c r="K1070" i="9"/>
  <c r="V1070" i="9"/>
  <c r="M1073" i="9"/>
  <c r="X1073" i="9"/>
  <c r="L1063" i="9"/>
  <c r="W1063" i="9"/>
  <c r="F1070" i="9"/>
  <c r="Q1070" i="9"/>
  <c r="K1060" i="9"/>
  <c r="V1060" i="9"/>
  <c r="O1066" i="9"/>
  <c r="Z1066" i="9"/>
  <c r="I1073" i="9"/>
  <c r="T1073" i="9"/>
  <c r="L1067" i="9"/>
  <c r="W1067" i="9"/>
  <c r="K1064" i="9"/>
  <c r="V1064" i="9"/>
  <c r="L1059" i="9"/>
  <c r="W1059" i="9"/>
  <c r="G1066" i="9"/>
  <c r="R1066" i="9"/>
  <c r="O1062" i="9"/>
  <c r="Z1062" i="9"/>
  <c r="G1071" i="9"/>
  <c r="R1071" i="9"/>
  <c r="M1064" i="9"/>
  <c r="X1064" i="9"/>
  <c r="H1074" i="9"/>
  <c r="S1074" i="9"/>
  <c r="N1067" i="9"/>
  <c r="Y1067" i="9"/>
  <c r="J1061" i="9"/>
  <c r="U1061" i="9"/>
  <c r="M1070" i="9"/>
  <c r="X1070" i="9"/>
  <c r="I1064" i="9"/>
  <c r="T1064" i="9"/>
  <c r="N1073" i="9"/>
  <c r="Y1073" i="9"/>
  <c r="J1067" i="9"/>
  <c r="U1067" i="9"/>
  <c r="F1061" i="9"/>
  <c r="Q1061" i="9"/>
  <c r="K1065" i="9"/>
  <c r="V1065" i="9"/>
  <c r="L1068" i="9"/>
  <c r="W1068" i="9"/>
  <c r="M1060" i="9"/>
  <c r="X1060" i="9"/>
  <c r="K1071" i="9"/>
  <c r="V1071" i="9"/>
  <c r="L1074" i="9"/>
  <c r="W1074" i="9"/>
  <c r="N1061" i="9"/>
  <c r="Y1061" i="9"/>
  <c r="J1073" i="9"/>
  <c r="U1073" i="9"/>
  <c r="I1060" i="9"/>
  <c r="T1060" i="9"/>
  <c r="H1060" i="9"/>
  <c r="S1060" i="9"/>
  <c r="L1066" i="9"/>
  <c r="W1066" i="9"/>
  <c r="F1059" i="9"/>
  <c r="Q1059" i="9"/>
  <c r="J1062" i="9"/>
  <c r="U1062" i="9"/>
  <c r="J1066" i="9"/>
  <c r="U1066" i="9"/>
  <c r="H1071" i="9"/>
  <c r="S1071" i="9"/>
  <c r="I1059" i="9"/>
  <c r="T1059" i="9"/>
  <c r="I1063" i="9"/>
  <c r="T1063" i="9"/>
  <c r="G1068" i="9"/>
  <c r="R1068" i="9"/>
  <c r="G1072" i="9"/>
  <c r="R1072" i="9"/>
  <c r="F1062" i="9"/>
  <c r="Q1062" i="9"/>
  <c r="L1071" i="9"/>
  <c r="W1071" i="9"/>
  <c r="M1063" i="9"/>
  <c r="X1063" i="9"/>
  <c r="M1071" i="9"/>
  <c r="X1071" i="9"/>
  <c r="N1070" i="9"/>
  <c r="Y1070" i="9"/>
  <c r="O1070" i="9"/>
  <c r="Z1070" i="9"/>
  <c r="M1059" i="9"/>
  <c r="X1059" i="9"/>
  <c r="N1062" i="9"/>
  <c r="Y1062" i="9"/>
  <c r="O1067" i="9"/>
  <c r="Z1067" i="9"/>
  <c r="O1059" i="9"/>
  <c r="Z1059" i="9"/>
  <c r="H1066" i="9"/>
  <c r="S1066" i="9"/>
  <c r="O1073" i="9"/>
  <c r="Z1073" i="9"/>
  <c r="O1065" i="9"/>
  <c r="Z1065" i="9"/>
  <c r="H1072" i="9"/>
  <c r="S1072" i="9"/>
  <c r="H1064" i="9"/>
  <c r="S1064" i="9"/>
  <c r="M1068" i="9"/>
  <c r="X1068" i="9"/>
  <c r="J1065" i="9"/>
  <c r="U1065" i="9"/>
  <c r="N1063" i="9"/>
  <c r="Y1063" i="9"/>
  <c r="O1061" i="9"/>
  <c r="Z1061" i="9"/>
  <c r="K1073" i="9"/>
  <c r="V1073" i="9"/>
  <c r="L1060" i="9"/>
  <c r="W1060" i="9"/>
  <c r="F1073" i="9"/>
  <c r="Q1073" i="9"/>
  <c r="L1061" i="9"/>
  <c r="W1061" i="9"/>
  <c r="F1068" i="9"/>
  <c r="Q1068" i="9"/>
  <c r="N1072" i="9"/>
  <c r="Y1072" i="9"/>
  <c r="K1062" i="9"/>
  <c r="V1062" i="9"/>
  <c r="O1068" i="9"/>
  <c r="Z1068" i="9"/>
  <c r="K1074" i="9"/>
  <c r="V1074" i="9"/>
  <c r="J1068" i="9"/>
  <c r="U1068" i="9"/>
  <c r="I1065" i="9"/>
  <c r="T1065" i="9"/>
  <c r="H1061" i="9"/>
  <c r="S1061" i="9"/>
  <c r="M1067" i="9"/>
  <c r="X1067" i="9"/>
  <c r="K1072" i="9"/>
  <c r="V1072" i="9"/>
  <c r="M1072" i="9"/>
  <c r="X1072" i="9"/>
  <c r="K1061" i="9"/>
  <c r="V1061" i="9"/>
  <c r="L1064" i="9"/>
  <c r="W1064" i="9"/>
  <c r="G1069" i="9"/>
  <c r="R1069" i="9"/>
  <c r="K1059" i="9"/>
  <c r="V1059" i="9"/>
  <c r="L1062" i="9"/>
  <c r="W1062" i="9"/>
  <c r="G1059" i="9"/>
  <c r="R1059" i="9"/>
  <c r="H1070" i="9"/>
  <c r="S1070" i="9"/>
  <c r="J1071" i="9"/>
  <c r="U1071" i="9"/>
  <c r="O1063" i="9"/>
  <c r="Z1063" i="9"/>
  <c r="O1069" i="9"/>
  <c r="Z1069" i="9"/>
  <c r="M1061" i="9"/>
  <c r="X1061" i="9"/>
  <c r="N1059" i="9"/>
  <c r="Y1059" i="9"/>
  <c r="G1065" i="9"/>
  <c r="R1065" i="9"/>
  <c r="N1069" i="9"/>
  <c r="Y1069" i="9"/>
  <c r="H1059" i="9"/>
  <c r="S1059" i="9"/>
  <c r="L1065" i="9"/>
  <c r="W1065" i="9"/>
  <c r="J1074" i="9"/>
  <c r="U1074" i="9"/>
  <c r="M1065" i="9"/>
  <c r="X1065" i="9"/>
  <c r="O1072" i="9"/>
  <c r="Z1072" i="9"/>
  <c r="H1073" i="9"/>
  <c r="S1073" i="9"/>
  <c r="G1070" i="9"/>
  <c r="R1070" i="9"/>
  <c r="I1061" i="9"/>
  <c r="T1061" i="9"/>
  <c r="H1069" i="9"/>
  <c r="S1069" i="9"/>
  <c r="I1066" i="9"/>
  <c r="T1066" i="9"/>
  <c r="J1069" i="9"/>
  <c r="U1069" i="9"/>
  <c r="K1067" i="9"/>
  <c r="V1067" i="9"/>
  <c r="F1069" i="9"/>
  <c r="Q1069" i="9"/>
  <c r="I1062" i="9"/>
  <c r="T1062" i="9"/>
  <c r="M1074" i="9"/>
  <c r="X1074" i="9"/>
  <c r="F1065" i="9"/>
  <c r="Q1065" i="9"/>
  <c r="J1063" i="9"/>
  <c r="U1063" i="9"/>
  <c r="F1060" i="9"/>
  <c r="Q1060" i="9"/>
  <c r="N1068" i="9"/>
  <c r="Y1068" i="9"/>
  <c r="G1060" i="9"/>
  <c r="R1060" i="9"/>
  <c r="K1066" i="9"/>
  <c r="V1066" i="9"/>
  <c r="J1060" i="9"/>
  <c r="U1060" i="9"/>
  <c r="N1074" i="9"/>
  <c r="Y1074" i="9"/>
  <c r="O1074" i="9"/>
  <c r="Z1074" i="9"/>
  <c r="G1074" i="9"/>
  <c r="R1074" i="9"/>
  <c r="I1069" i="9"/>
  <c r="T1069" i="9"/>
  <c r="G1063" i="9"/>
  <c r="R1063" i="9"/>
  <c r="F1063" i="9"/>
  <c r="Q1063" i="9"/>
  <c r="M1062" i="9"/>
  <c r="X1062" i="9"/>
  <c r="N1065" i="9"/>
  <c r="Y1065" i="9"/>
  <c r="N1071" i="9"/>
  <c r="Y1071" i="9"/>
  <c r="I1068" i="9"/>
  <c r="T1068" i="9"/>
  <c r="I1070" i="9"/>
  <c r="T1070" i="9"/>
  <c r="M1066" i="9"/>
  <c r="X1066" i="9"/>
  <c r="H1063" i="9"/>
  <c r="S1063" i="9"/>
  <c r="L1069" i="9"/>
  <c r="W1069" i="9"/>
  <c r="M1069" i="9"/>
  <c r="X1069" i="9"/>
  <c r="H1065" i="9"/>
  <c r="S1065" i="9"/>
  <c r="G1062" i="9"/>
  <c r="R1062" i="9"/>
  <c r="J1064" i="9"/>
  <c r="U1064" i="9"/>
  <c r="F1066" i="9"/>
  <c r="Q1066" i="9"/>
  <c r="I1074" i="9"/>
  <c r="T1074" i="9"/>
  <c r="L1072" i="9"/>
  <c r="W1072" i="9"/>
  <c r="G1061" i="9"/>
  <c r="R1061" i="9"/>
  <c r="J1059" i="9"/>
  <c r="U1059" i="9"/>
  <c r="H1062" i="9"/>
  <c r="S1062" i="9"/>
  <c r="F1067" i="9"/>
  <c r="Q1067" i="9"/>
  <c r="N1064" i="9"/>
  <c r="Y1064" i="9"/>
  <c r="N1066" i="9"/>
  <c r="Y1066" i="9"/>
  <c r="K1069" i="9"/>
  <c r="V1069" i="9"/>
  <c r="O1071" i="9"/>
  <c r="Z1071" i="9"/>
  <c r="K1063" i="9"/>
  <c r="V1063" i="9"/>
  <c r="F1074" i="9"/>
  <c r="Q1074" i="9"/>
  <c r="H1068" i="9"/>
  <c r="S1068" i="9"/>
  <c r="I1071" i="9"/>
  <c r="T1071" i="9"/>
  <c r="J1072" i="9"/>
  <c r="U1072" i="9"/>
  <c r="L1070" i="9"/>
  <c r="W1070" i="9"/>
  <c r="G1073" i="9"/>
  <c r="R1073" i="9"/>
  <c r="F1072" i="9"/>
  <c r="Q1072" i="9"/>
  <c r="K1068" i="9"/>
  <c r="V1068" i="9"/>
  <c r="F1071" i="9"/>
  <c r="Q1071" i="9"/>
  <c r="G1067" i="9"/>
  <c r="R1067" i="9"/>
  <c r="O1064" i="9"/>
  <c r="Z1064" i="9"/>
  <c r="I1072" i="9"/>
  <c r="T1072" i="9"/>
  <c r="H731" i="9"/>
  <c r="S731" i="9"/>
  <c r="G728" i="9"/>
  <c r="R728" i="9"/>
  <c r="M727" i="9"/>
  <c r="X727" i="9"/>
  <c r="J732" i="9"/>
  <c r="U732" i="9"/>
  <c r="O734" i="9"/>
  <c r="Z734" i="9"/>
  <c r="N737" i="9"/>
  <c r="Y737" i="9"/>
  <c r="O727" i="9"/>
  <c r="Z727" i="9"/>
  <c r="K727" i="9"/>
  <c r="V727" i="9"/>
  <c r="O723" i="9"/>
  <c r="Z723" i="9"/>
  <c r="I738" i="9"/>
  <c r="T738" i="9"/>
  <c r="N728" i="9"/>
  <c r="Y728" i="9"/>
  <c r="M725" i="9"/>
  <c r="X725" i="9"/>
  <c r="K738" i="9"/>
  <c r="V738" i="9"/>
  <c r="J724" i="9"/>
  <c r="U724" i="9"/>
  <c r="M723" i="9"/>
  <c r="X723" i="9"/>
  <c r="M726" i="9"/>
  <c r="X726" i="9"/>
  <c r="M732" i="9"/>
  <c r="X732" i="9"/>
  <c r="G737" i="9"/>
  <c r="R737" i="9"/>
  <c r="K733" i="9"/>
  <c r="V733" i="9"/>
  <c r="G735" i="9"/>
  <c r="R735" i="9"/>
  <c r="L729" i="9"/>
  <c r="W729" i="9"/>
  <c r="K726" i="9"/>
  <c r="V726" i="9"/>
  <c r="K724" i="9"/>
  <c r="V724" i="9"/>
  <c r="F726" i="9"/>
  <c r="Q726" i="9"/>
  <c r="O726" i="9"/>
  <c r="Z726" i="9"/>
  <c r="G725" i="9"/>
  <c r="R725" i="9"/>
  <c r="G731" i="9"/>
  <c r="R731" i="9"/>
  <c r="O733" i="9"/>
  <c r="Z733" i="9"/>
  <c r="I730" i="9"/>
  <c r="T730" i="9"/>
  <c r="M728" i="9"/>
  <c r="X728" i="9"/>
  <c r="J730" i="9"/>
  <c r="U730" i="9"/>
  <c r="I727" i="9"/>
  <c r="T727" i="9"/>
  <c r="G726" i="9"/>
  <c r="R726" i="9"/>
  <c r="H729" i="9"/>
  <c r="S729" i="9"/>
  <c r="M731" i="9"/>
  <c r="X731" i="9"/>
  <c r="K723" i="9"/>
  <c r="V723" i="9"/>
  <c r="K729" i="9"/>
  <c r="V729" i="9"/>
  <c r="M730" i="9"/>
  <c r="X730" i="9"/>
  <c r="G727" i="9"/>
  <c r="R727" i="9"/>
  <c r="N731" i="9"/>
  <c r="Y731" i="9"/>
  <c r="F728" i="9"/>
  <c r="Q728" i="9"/>
  <c r="O724" i="9"/>
  <c r="Z724" i="9"/>
  <c r="M737" i="9"/>
  <c r="X737" i="9"/>
  <c r="K736" i="9"/>
  <c r="V736" i="9"/>
  <c r="F738" i="9"/>
  <c r="Q738" i="9"/>
  <c r="I728" i="9"/>
  <c r="T728" i="9"/>
  <c r="I734" i="9"/>
  <c r="T734" i="9"/>
  <c r="L724" i="9"/>
  <c r="W724" i="9"/>
  <c r="M736" i="9"/>
  <c r="X736" i="9"/>
  <c r="F735" i="9"/>
  <c r="Q735" i="9"/>
  <c r="L725" i="9"/>
  <c r="W725" i="9"/>
  <c r="J738" i="9"/>
  <c r="U738" i="9"/>
  <c r="I735" i="9"/>
  <c r="T735" i="9"/>
  <c r="K728" i="9"/>
  <c r="V728" i="9"/>
  <c r="H733" i="9"/>
  <c r="S733" i="9"/>
  <c r="G733" i="9"/>
  <c r="R733" i="9"/>
  <c r="J723" i="9"/>
  <c r="U723" i="9"/>
  <c r="J729" i="9"/>
  <c r="U729" i="9"/>
  <c r="L738" i="9"/>
  <c r="W738" i="9"/>
  <c r="J735" i="9"/>
  <c r="U735" i="9"/>
  <c r="J726" i="9"/>
  <c r="U726" i="9"/>
  <c r="I723" i="9"/>
  <c r="T723" i="9"/>
  <c r="G736" i="9"/>
  <c r="R736" i="9"/>
  <c r="G730" i="9"/>
  <c r="R730" i="9"/>
  <c r="N734" i="9"/>
  <c r="Y734" i="9"/>
  <c r="K731" i="9"/>
  <c r="V731" i="9"/>
  <c r="K737" i="9"/>
  <c r="V737" i="9"/>
  <c r="N727" i="9"/>
  <c r="Y727" i="9"/>
  <c r="H732" i="9"/>
  <c r="S732" i="9"/>
  <c r="F729" i="9"/>
  <c r="Q729" i="9"/>
  <c r="H727" i="9"/>
  <c r="S727" i="9"/>
  <c r="G724" i="9"/>
  <c r="R724" i="9"/>
  <c r="O736" i="9"/>
  <c r="Z736" i="9"/>
  <c r="I733" i="9"/>
  <c r="T733" i="9"/>
  <c r="J736" i="9"/>
  <c r="U736" i="9"/>
  <c r="O729" i="9"/>
  <c r="Z729" i="9"/>
  <c r="O735" i="9"/>
  <c r="Z735" i="9"/>
  <c r="H726" i="9"/>
  <c r="S726" i="9"/>
  <c r="N725" i="9"/>
  <c r="Y725" i="9"/>
  <c r="O731" i="9"/>
  <c r="Z731" i="9"/>
  <c r="I731" i="9"/>
  <c r="T731" i="9"/>
  <c r="H725" i="9"/>
  <c r="S725" i="9"/>
  <c r="J731" i="9"/>
  <c r="U731" i="9"/>
  <c r="L730" i="9"/>
  <c r="W730" i="9"/>
  <c r="J725" i="9"/>
  <c r="U725" i="9"/>
  <c r="O728" i="9"/>
  <c r="Z728" i="9"/>
  <c r="L735" i="9"/>
  <c r="W735" i="9"/>
  <c r="H736" i="9"/>
  <c r="S736" i="9"/>
  <c r="I724" i="9"/>
  <c r="T724" i="9"/>
  <c r="K725" i="9"/>
  <c r="V725" i="9"/>
  <c r="M729" i="9"/>
  <c r="X729" i="9"/>
  <c r="N738" i="9"/>
  <c r="Y738" i="9"/>
  <c r="L734" i="9"/>
  <c r="W734" i="9"/>
  <c r="F737" i="9"/>
  <c r="Q737" i="9"/>
  <c r="L728" i="9"/>
  <c r="W728" i="9"/>
  <c r="K730" i="9"/>
  <c r="V730" i="9"/>
  <c r="L723" i="9"/>
  <c r="W723" i="9"/>
  <c r="F733" i="9"/>
  <c r="Q733" i="9"/>
  <c r="N733" i="9"/>
  <c r="Y733" i="9"/>
  <c r="H738" i="9"/>
  <c r="S738" i="9"/>
  <c r="N724" i="9"/>
  <c r="Y724" i="9"/>
  <c r="K734" i="9"/>
  <c r="V734" i="9"/>
  <c r="L731" i="9"/>
  <c r="W731" i="9"/>
  <c r="F725" i="9"/>
  <c r="Q725" i="9"/>
  <c r="G729" i="9"/>
  <c r="R729" i="9"/>
  <c r="F723" i="9"/>
  <c r="Q723" i="9"/>
  <c r="G732" i="9"/>
  <c r="R732" i="9"/>
  <c r="N726" i="9"/>
  <c r="Y726" i="9"/>
  <c r="N729" i="9"/>
  <c r="Y729" i="9"/>
  <c r="J727" i="9"/>
  <c r="U727" i="9"/>
  <c r="H723" i="9"/>
  <c r="S723" i="9"/>
  <c r="O732" i="9"/>
  <c r="Z732" i="9"/>
  <c r="J728" i="9"/>
  <c r="U728" i="9"/>
  <c r="H728" i="9"/>
  <c r="S728" i="9"/>
  <c r="H724" i="9"/>
  <c r="S724" i="9"/>
  <c r="F724" i="9"/>
  <c r="Q724" i="9"/>
  <c r="M733" i="9"/>
  <c r="X733" i="9"/>
  <c r="F730" i="9"/>
  <c r="Q730" i="9"/>
  <c r="L726" i="9"/>
  <c r="W726" i="9"/>
  <c r="K735" i="9"/>
  <c r="V735" i="9"/>
  <c r="J734" i="9"/>
  <c r="U734" i="9"/>
  <c r="G734" i="9"/>
  <c r="R734" i="9"/>
  <c r="F734" i="9"/>
  <c r="Q734" i="9"/>
  <c r="J737" i="9"/>
  <c r="U737" i="9"/>
  <c r="F727" i="9"/>
  <c r="Q727" i="9"/>
  <c r="F732" i="9"/>
  <c r="Q732" i="9"/>
  <c r="I729" i="9"/>
  <c r="T729" i="9"/>
  <c r="G738" i="9"/>
  <c r="R738" i="9"/>
  <c r="I726" i="9"/>
  <c r="T726" i="9"/>
  <c r="L736" i="9"/>
  <c r="W736" i="9"/>
  <c r="N732" i="9"/>
  <c r="Y732" i="9"/>
  <c r="O730" i="9"/>
  <c r="Z730" i="9"/>
  <c r="L727" i="9"/>
  <c r="W727" i="9"/>
  <c r="M724" i="9"/>
  <c r="X724" i="9"/>
  <c r="J733" i="9"/>
  <c r="U733" i="9"/>
  <c r="L733" i="9"/>
  <c r="W733" i="9"/>
  <c r="K732" i="9"/>
  <c r="V732" i="9"/>
  <c r="N730" i="9"/>
  <c r="Y730" i="9"/>
  <c r="G723" i="9"/>
  <c r="R723" i="9"/>
  <c r="H730" i="9"/>
  <c r="S730" i="9"/>
  <c r="F731" i="9"/>
  <c r="Q731" i="9"/>
  <c r="H737" i="9"/>
  <c r="S737" i="9"/>
  <c r="I737" i="9"/>
  <c r="T737" i="9"/>
  <c r="N736" i="9"/>
  <c r="Y736" i="9"/>
  <c r="I732" i="9"/>
  <c r="T732" i="9"/>
  <c r="L737" i="9"/>
  <c r="W737" i="9"/>
  <c r="O725" i="9"/>
  <c r="Z725" i="9"/>
  <c r="N735" i="9"/>
  <c r="Y735" i="9"/>
  <c r="O737" i="9"/>
  <c r="Z737" i="9"/>
  <c r="O738" i="9"/>
  <c r="Z738" i="9"/>
  <c r="I725" i="9"/>
  <c r="T725" i="9"/>
  <c r="H735" i="9"/>
  <c r="S735" i="9"/>
  <c r="N723" i="9"/>
  <c r="Y723" i="9"/>
  <c r="H734" i="9"/>
  <c r="S734" i="9"/>
  <c r="I736" i="9"/>
  <c r="T736" i="9"/>
  <c r="M734" i="9"/>
  <c r="X734" i="9"/>
  <c r="M735" i="9"/>
  <c r="X735" i="9"/>
  <c r="F736" i="9"/>
  <c r="Q736" i="9"/>
  <c r="M738" i="9"/>
  <c r="X738" i="9"/>
  <c r="L732" i="9"/>
  <c r="W732" i="9"/>
  <c r="J932" i="9"/>
  <c r="U932" i="9"/>
  <c r="K934" i="9"/>
  <c r="V934" i="9"/>
  <c r="M936" i="9"/>
  <c r="X936" i="9"/>
  <c r="N938" i="9"/>
  <c r="Y938" i="9"/>
  <c r="O940" i="9"/>
  <c r="Z940" i="9"/>
  <c r="G943" i="9"/>
  <c r="R943" i="9"/>
  <c r="H945" i="9"/>
  <c r="S945" i="9"/>
  <c r="K931" i="9"/>
  <c r="V931" i="9"/>
  <c r="L933" i="9"/>
  <c r="W933" i="9"/>
  <c r="M935" i="9"/>
  <c r="X935" i="9"/>
  <c r="O937" i="9"/>
  <c r="Z937" i="9"/>
  <c r="F940" i="9"/>
  <c r="Q940" i="9"/>
  <c r="G942" i="9"/>
  <c r="R942" i="9"/>
  <c r="I944" i="9"/>
  <c r="T944" i="9"/>
  <c r="J946" i="9"/>
  <c r="U946" i="9"/>
  <c r="O933" i="9"/>
  <c r="Z933" i="9"/>
  <c r="G938" i="9"/>
  <c r="R938" i="9"/>
  <c r="J942" i="9"/>
  <c r="U942" i="9"/>
  <c r="M946" i="9"/>
  <c r="X946" i="9"/>
  <c r="I934" i="9"/>
  <c r="T934" i="9"/>
  <c r="K938" i="9"/>
  <c r="V938" i="9"/>
  <c r="N942" i="9"/>
  <c r="Y942" i="9"/>
  <c r="L931" i="9"/>
  <c r="W931" i="9"/>
  <c r="G940" i="9"/>
  <c r="R940" i="9"/>
  <c r="I932" i="9"/>
  <c r="T932" i="9"/>
  <c r="N940" i="9"/>
  <c r="Y940" i="9"/>
  <c r="G939" i="9"/>
  <c r="R939" i="9"/>
  <c r="L937" i="9"/>
  <c r="W937" i="9"/>
  <c r="M939" i="9"/>
  <c r="X939" i="9"/>
  <c r="I933" i="9"/>
  <c r="T933" i="9"/>
  <c r="F943" i="9"/>
  <c r="Q943" i="9"/>
  <c r="L936" i="9"/>
  <c r="W936" i="9"/>
  <c r="N945" i="9"/>
  <c r="Y945" i="9"/>
  <c r="J939" i="9"/>
  <c r="U939" i="9"/>
  <c r="F933" i="9"/>
  <c r="Q933" i="9"/>
  <c r="J937" i="9"/>
  <c r="U937" i="9"/>
  <c r="L932" i="9"/>
  <c r="W932" i="9"/>
  <c r="F937" i="9"/>
  <c r="Q937" i="9"/>
  <c r="N941" i="9"/>
  <c r="Y941" i="9"/>
  <c r="J935" i="9"/>
  <c r="U935" i="9"/>
  <c r="F931" i="9"/>
  <c r="Q931" i="9"/>
  <c r="K933" i="9"/>
  <c r="V933" i="9"/>
  <c r="G936" i="9"/>
  <c r="R936" i="9"/>
  <c r="I939" i="9"/>
  <c r="T939" i="9"/>
  <c r="F942" i="9"/>
  <c r="Q942" i="9"/>
  <c r="M944" i="9"/>
  <c r="X944" i="9"/>
  <c r="F932" i="9"/>
  <c r="Q932" i="9"/>
  <c r="M934" i="9"/>
  <c r="X934" i="9"/>
  <c r="I937" i="9"/>
  <c r="T937" i="9"/>
  <c r="K940" i="9"/>
  <c r="V940" i="9"/>
  <c r="H943" i="9"/>
  <c r="S943" i="9"/>
  <c r="O945" i="9"/>
  <c r="Z945" i="9"/>
  <c r="O934" i="9"/>
  <c r="Z934" i="9"/>
  <c r="I940" i="9"/>
  <c r="T940" i="9"/>
  <c r="L945" i="9"/>
  <c r="W945" i="9"/>
  <c r="I935" i="9"/>
  <c r="T935" i="9"/>
  <c r="M940" i="9"/>
  <c r="X940" i="9"/>
  <c r="F946" i="9"/>
  <c r="Q946" i="9"/>
  <c r="I942" i="9"/>
  <c r="T942" i="9"/>
  <c r="K936" i="9"/>
  <c r="V936" i="9"/>
  <c r="N934" i="9"/>
  <c r="Y934" i="9"/>
  <c r="G946" i="9"/>
  <c r="R946" i="9"/>
  <c r="M932" i="9"/>
  <c r="X932" i="9"/>
  <c r="L944" i="9"/>
  <c r="W944" i="9"/>
  <c r="F935" i="9"/>
  <c r="Q935" i="9"/>
  <c r="L942" i="9"/>
  <c r="W942" i="9"/>
  <c r="L934" i="9"/>
  <c r="W934" i="9"/>
  <c r="H934" i="9"/>
  <c r="S934" i="9"/>
  <c r="J943" i="9"/>
  <c r="U943" i="9"/>
  <c r="N935" i="9"/>
  <c r="Y935" i="9"/>
  <c r="I931" i="9"/>
  <c r="T931" i="9"/>
  <c r="G935" i="9"/>
  <c r="R935" i="9"/>
  <c r="I938" i="9"/>
  <c r="T938" i="9"/>
  <c r="K942" i="9"/>
  <c r="V942" i="9"/>
  <c r="I946" i="9"/>
  <c r="T946" i="9"/>
  <c r="G934" i="9"/>
  <c r="R934" i="9"/>
  <c r="J938" i="9"/>
  <c r="U938" i="9"/>
  <c r="L941" i="9"/>
  <c r="W941" i="9"/>
  <c r="I945" i="9"/>
  <c r="T945" i="9"/>
  <c r="F936" i="9"/>
  <c r="Q936" i="9"/>
  <c r="K943" i="9"/>
  <c r="V943" i="9"/>
  <c r="H933" i="9"/>
  <c r="S933" i="9"/>
  <c r="M941" i="9"/>
  <c r="X941" i="9"/>
  <c r="O935" i="9"/>
  <c r="Z935" i="9"/>
  <c r="J934" i="9"/>
  <c r="U934" i="9"/>
  <c r="I943" i="9"/>
  <c r="T943" i="9"/>
  <c r="K935" i="9"/>
  <c r="V935" i="9"/>
  <c r="H946" i="9"/>
  <c r="S946" i="9"/>
  <c r="J933" i="9"/>
  <c r="U933" i="9"/>
  <c r="N937" i="9"/>
  <c r="Y937" i="9"/>
  <c r="L940" i="9"/>
  <c r="W940" i="9"/>
  <c r="H940" i="9"/>
  <c r="S940" i="9"/>
  <c r="H932" i="9"/>
  <c r="S932" i="9"/>
  <c r="O939" i="9"/>
  <c r="Z939" i="9"/>
  <c r="O938" i="9"/>
  <c r="Z938" i="9"/>
  <c r="N932" i="9"/>
  <c r="Y932" i="9"/>
  <c r="K937" i="9"/>
  <c r="V937" i="9"/>
  <c r="M938" i="9"/>
  <c r="X938" i="9"/>
  <c r="O941" i="9"/>
  <c r="Z941" i="9"/>
  <c r="J931" i="9"/>
  <c r="U931" i="9"/>
  <c r="L938" i="9"/>
  <c r="W938" i="9"/>
  <c r="O931" i="9"/>
  <c r="Z931" i="9"/>
  <c r="H937" i="9"/>
  <c r="S937" i="9"/>
  <c r="K941" i="9"/>
  <c r="V941" i="9"/>
  <c r="N946" i="9"/>
  <c r="Y946" i="9"/>
  <c r="I936" i="9"/>
  <c r="T936" i="9"/>
  <c r="G941" i="9"/>
  <c r="R941" i="9"/>
  <c r="O946" i="9"/>
  <c r="Z946" i="9"/>
  <c r="H939" i="9"/>
  <c r="S939" i="9"/>
  <c r="G932" i="9"/>
  <c r="R932" i="9"/>
  <c r="O943" i="9"/>
  <c r="Z943" i="9"/>
  <c r="J944" i="9"/>
  <c r="U944" i="9"/>
  <c r="G945" i="9"/>
  <c r="R945" i="9"/>
  <c r="F944" i="9"/>
  <c r="Q944" i="9"/>
  <c r="N939" i="9"/>
  <c r="Y939" i="9"/>
  <c r="F941" i="9"/>
  <c r="Q941" i="9"/>
  <c r="J945" i="9"/>
  <c r="U945" i="9"/>
  <c r="H942" i="9"/>
  <c r="S942" i="9"/>
  <c r="O932" i="9"/>
  <c r="Z932" i="9"/>
  <c r="M937" i="9"/>
  <c r="X937" i="9"/>
  <c r="L943" i="9"/>
  <c r="W943" i="9"/>
  <c r="K932" i="9"/>
  <c r="V932" i="9"/>
  <c r="N936" i="9"/>
  <c r="Y936" i="9"/>
  <c r="M942" i="9"/>
  <c r="X942" i="9"/>
  <c r="M931" i="9"/>
  <c r="X931" i="9"/>
  <c r="I941" i="9"/>
  <c r="T941" i="9"/>
  <c r="J936" i="9"/>
  <c r="U936" i="9"/>
  <c r="O944" i="9"/>
  <c r="Z944" i="9"/>
  <c r="K946" i="9"/>
  <c r="V946" i="9"/>
  <c r="O936" i="9"/>
  <c r="Z936" i="9"/>
  <c r="H941" i="9"/>
  <c r="S941" i="9"/>
  <c r="H938" i="9"/>
  <c r="S938" i="9"/>
  <c r="H936" i="9"/>
  <c r="S936" i="9"/>
  <c r="F939" i="9"/>
  <c r="Q939" i="9"/>
  <c r="F945" i="9"/>
  <c r="Q945" i="9"/>
  <c r="F934" i="9"/>
  <c r="Q934" i="9"/>
  <c r="G944" i="9"/>
  <c r="R944" i="9"/>
  <c r="G933" i="9"/>
  <c r="R933" i="9"/>
  <c r="M943" i="9"/>
  <c r="X943" i="9"/>
  <c r="K944" i="9"/>
  <c r="V944" i="9"/>
  <c r="M933" i="9"/>
  <c r="X933" i="9"/>
  <c r="K945" i="9"/>
  <c r="V945" i="9"/>
  <c r="N931" i="9"/>
  <c r="Y931" i="9"/>
  <c r="L946" i="9"/>
  <c r="W946" i="9"/>
  <c r="H935" i="9"/>
  <c r="S935" i="9"/>
  <c r="G931" i="9"/>
  <c r="R931" i="9"/>
  <c r="H931" i="9"/>
  <c r="S931" i="9"/>
  <c r="N933" i="9"/>
  <c r="Y933" i="9"/>
  <c r="N944" i="9"/>
  <c r="Y944" i="9"/>
  <c r="M945" i="9"/>
  <c r="X945" i="9"/>
  <c r="G937" i="9"/>
  <c r="R937" i="9"/>
  <c r="O942" i="9"/>
  <c r="Z942" i="9"/>
  <c r="N943" i="9"/>
  <c r="Y943" i="9"/>
  <c r="L935" i="9"/>
  <c r="W935" i="9"/>
  <c r="K939" i="9"/>
  <c r="V939" i="9"/>
  <c r="L939" i="9"/>
  <c r="W939" i="9"/>
  <c r="J941" i="9"/>
  <c r="U941" i="9"/>
  <c r="J940" i="9"/>
  <c r="U940" i="9"/>
  <c r="F938" i="9"/>
  <c r="Q938" i="9"/>
  <c r="H944" i="9"/>
  <c r="S944" i="9"/>
  <c r="F305" i="9"/>
  <c r="Q305" i="9"/>
  <c r="J301" i="9"/>
  <c r="U301" i="9"/>
  <c r="L306" i="9"/>
  <c r="W306" i="9"/>
  <c r="L304" i="9"/>
  <c r="W304" i="9"/>
  <c r="N295" i="9"/>
  <c r="Y295" i="9"/>
  <c r="L302" i="9"/>
  <c r="W302" i="9"/>
  <c r="J293" i="9"/>
  <c r="U293" i="9"/>
  <c r="J292" i="9"/>
  <c r="U292" i="9"/>
  <c r="M300" i="9"/>
  <c r="X300" i="9"/>
  <c r="G303" i="9"/>
  <c r="R303" i="9"/>
  <c r="I305" i="9"/>
  <c r="T305" i="9"/>
  <c r="K295" i="9"/>
  <c r="V295" i="9"/>
  <c r="K301" i="9"/>
  <c r="V301" i="9"/>
  <c r="O294" i="9"/>
  <c r="Z294" i="9"/>
  <c r="M299" i="9"/>
  <c r="X299" i="9"/>
  <c r="L303" i="9"/>
  <c r="W303" i="9"/>
  <c r="G296" i="9"/>
  <c r="R296" i="9"/>
  <c r="L291" i="9"/>
  <c r="W291" i="9"/>
  <c r="J298" i="9"/>
  <c r="U298" i="9"/>
  <c r="M306" i="9"/>
  <c r="X306" i="9"/>
  <c r="N291" i="9"/>
  <c r="Y291" i="9"/>
  <c r="M291" i="9"/>
  <c r="X291" i="9"/>
  <c r="O305" i="9"/>
  <c r="Z305" i="9"/>
  <c r="H296" i="9"/>
  <c r="S296" i="9"/>
  <c r="F291" i="9"/>
  <c r="Q291" i="9"/>
  <c r="K297" i="9"/>
  <c r="V297" i="9"/>
  <c r="M296" i="9"/>
  <c r="X296" i="9"/>
  <c r="G302" i="9"/>
  <c r="R302" i="9"/>
  <c r="I292" i="9"/>
  <c r="T292" i="9"/>
  <c r="G295" i="9"/>
  <c r="R295" i="9"/>
  <c r="K291" i="9"/>
  <c r="V291" i="9"/>
  <c r="I296" i="9"/>
  <c r="T296" i="9"/>
  <c r="L301" i="9"/>
  <c r="W301" i="9"/>
  <c r="O302" i="9"/>
  <c r="Z302" i="9"/>
  <c r="H295" i="9"/>
  <c r="S295" i="9"/>
  <c r="G293" i="9"/>
  <c r="R293" i="9"/>
  <c r="I306" i="9"/>
  <c r="T306" i="9"/>
  <c r="I301" i="9"/>
  <c r="T301" i="9"/>
  <c r="O295" i="9"/>
  <c r="Z295" i="9"/>
  <c r="O291" i="9"/>
  <c r="Z291" i="9"/>
  <c r="N303" i="9"/>
  <c r="Y303" i="9"/>
  <c r="J305" i="9"/>
  <c r="U305" i="9"/>
  <c r="L296" i="9"/>
  <c r="W296" i="9"/>
  <c r="H305" i="9"/>
  <c r="S305" i="9"/>
  <c r="N294" i="9"/>
  <c r="Y294" i="9"/>
  <c r="K292" i="9"/>
  <c r="V292" i="9"/>
  <c r="G298" i="9"/>
  <c r="R298" i="9"/>
  <c r="H306" i="9"/>
  <c r="S306" i="9"/>
  <c r="G299" i="9"/>
  <c r="R299" i="9"/>
  <c r="M303" i="9"/>
  <c r="X303" i="9"/>
  <c r="I298" i="9"/>
  <c r="T298" i="9"/>
  <c r="I293" i="9"/>
  <c r="T293" i="9"/>
  <c r="K294" i="9"/>
  <c r="V294" i="9"/>
  <c r="N296" i="9"/>
  <c r="Y296" i="9"/>
  <c r="O304" i="9"/>
  <c r="Z304" i="9"/>
  <c r="K299" i="9"/>
  <c r="V299" i="9"/>
  <c r="J296" i="9"/>
  <c r="U296" i="9"/>
  <c r="M301" i="9"/>
  <c r="X301" i="9"/>
  <c r="G297" i="9"/>
  <c r="R297" i="9"/>
  <c r="K300" i="9"/>
  <c r="V300" i="9"/>
  <c r="H300" i="9"/>
  <c r="S300" i="9"/>
  <c r="J303" i="9"/>
  <c r="U303" i="9"/>
  <c r="J295" i="9"/>
  <c r="U295" i="9"/>
  <c r="I291" i="9"/>
  <c r="T291" i="9"/>
  <c r="L293" i="9"/>
  <c r="W293" i="9"/>
  <c r="K298" i="9"/>
  <c r="V298" i="9"/>
  <c r="I304" i="9"/>
  <c r="T304" i="9"/>
  <c r="K302" i="9"/>
  <c r="V302" i="9"/>
  <c r="N304" i="9"/>
  <c r="Y304" i="9"/>
  <c r="H301" i="9"/>
  <c r="S301" i="9"/>
  <c r="L297" i="9"/>
  <c r="W297" i="9"/>
  <c r="L295" i="9"/>
  <c r="W295" i="9"/>
  <c r="M293" i="9"/>
  <c r="X293" i="9"/>
  <c r="M298" i="9"/>
  <c r="X298" i="9"/>
  <c r="J291" i="9"/>
  <c r="U291" i="9"/>
  <c r="F298" i="9"/>
  <c r="Q298" i="9"/>
  <c r="I303" i="9"/>
  <c r="T303" i="9"/>
  <c r="I302" i="9"/>
  <c r="T302" i="9"/>
  <c r="M305" i="9"/>
  <c r="X305" i="9"/>
  <c r="J297" i="9"/>
  <c r="U297" i="9"/>
  <c r="L294" i="9"/>
  <c r="W294" i="9"/>
  <c r="F299" i="9"/>
  <c r="Q299" i="9"/>
  <c r="N297" i="9"/>
  <c r="Y297" i="9"/>
  <c r="H302" i="9"/>
  <c r="S302" i="9"/>
  <c r="H304" i="9"/>
  <c r="S304" i="9"/>
  <c r="H298" i="9"/>
  <c r="S298" i="9"/>
  <c r="G304" i="9"/>
  <c r="R304" i="9"/>
  <c r="I294" i="9"/>
  <c r="T294" i="9"/>
  <c r="J306" i="9"/>
  <c r="U306" i="9"/>
  <c r="O298" i="9"/>
  <c r="Z298" i="9"/>
  <c r="J304" i="9"/>
  <c r="U304" i="9"/>
  <c r="L305" i="9"/>
  <c r="W305" i="9"/>
  <c r="F304" i="9"/>
  <c r="Q304" i="9"/>
  <c r="N301" i="9"/>
  <c r="Y301" i="9"/>
  <c r="H297" i="9"/>
  <c r="S297" i="9"/>
  <c r="K305" i="9"/>
  <c r="V305" i="9"/>
  <c r="O296" i="9"/>
  <c r="Z296" i="9"/>
  <c r="F292" i="9"/>
  <c r="Q292" i="9"/>
  <c r="I300" i="9"/>
  <c r="T300" i="9"/>
  <c r="I295" i="9"/>
  <c r="T295" i="9"/>
  <c r="F296" i="9"/>
  <c r="Q296" i="9"/>
  <c r="N300" i="9"/>
  <c r="Y300" i="9"/>
  <c r="J299" i="9"/>
  <c r="U299" i="9"/>
  <c r="O300" i="9"/>
  <c r="Z300" i="9"/>
  <c r="N302" i="9"/>
  <c r="Y302" i="9"/>
  <c r="H303" i="9"/>
  <c r="S303" i="9"/>
  <c r="M295" i="9"/>
  <c r="X295" i="9"/>
  <c r="L299" i="9"/>
  <c r="W299" i="9"/>
  <c r="N292" i="9"/>
  <c r="Y292" i="9"/>
  <c r="H291" i="9"/>
  <c r="S291" i="9"/>
  <c r="N306" i="9"/>
  <c r="Y306" i="9"/>
  <c r="G294" i="9"/>
  <c r="R294" i="9"/>
  <c r="J300" i="9"/>
  <c r="U300" i="9"/>
  <c r="K303" i="9"/>
  <c r="V303" i="9"/>
  <c r="L300" i="9"/>
  <c r="W300" i="9"/>
  <c r="O306" i="9"/>
  <c r="Z306" i="9"/>
  <c r="G306" i="9"/>
  <c r="R306" i="9"/>
  <c r="K293" i="9"/>
  <c r="V293" i="9"/>
  <c r="M302" i="9"/>
  <c r="X302" i="9"/>
  <c r="G291" i="9"/>
  <c r="R291" i="9"/>
  <c r="N293" i="9"/>
  <c r="Y293" i="9"/>
  <c r="F297" i="9"/>
  <c r="Q297" i="9"/>
  <c r="N305" i="9"/>
  <c r="Y305" i="9"/>
  <c r="M297" i="9"/>
  <c r="X297" i="9"/>
  <c r="F300" i="9"/>
  <c r="Q300" i="9"/>
  <c r="H293" i="9"/>
  <c r="S293" i="9"/>
  <c r="K296" i="9"/>
  <c r="V296" i="9"/>
  <c r="L292" i="9"/>
  <c r="W292" i="9"/>
  <c r="O299" i="9"/>
  <c r="Z299" i="9"/>
  <c r="O293" i="9"/>
  <c r="Z293" i="9"/>
  <c r="O297" i="9"/>
  <c r="Z297" i="9"/>
  <c r="F302" i="9"/>
  <c r="Q302" i="9"/>
  <c r="K306" i="9"/>
  <c r="V306" i="9"/>
  <c r="G305" i="9"/>
  <c r="R305" i="9"/>
  <c r="G301" i="9"/>
  <c r="R301" i="9"/>
  <c r="I299" i="9"/>
  <c r="T299" i="9"/>
  <c r="O292" i="9"/>
  <c r="Z292" i="9"/>
  <c r="F294" i="9"/>
  <c r="Q294" i="9"/>
  <c r="F301" i="9"/>
  <c r="Q301" i="9"/>
  <c r="L298" i="9"/>
  <c r="W298" i="9"/>
  <c r="N299" i="9"/>
  <c r="Y299" i="9"/>
  <c r="F303" i="9"/>
  <c r="Q303" i="9"/>
  <c r="F295" i="9"/>
  <c r="Q295" i="9"/>
  <c r="N298" i="9"/>
  <c r="Y298" i="9"/>
  <c r="G300" i="9"/>
  <c r="R300" i="9"/>
  <c r="O301" i="9"/>
  <c r="Z301" i="9"/>
  <c r="J302" i="9"/>
  <c r="U302" i="9"/>
  <c r="F293" i="9"/>
  <c r="Q293" i="9"/>
  <c r="M292" i="9"/>
  <c r="X292" i="9"/>
  <c r="I297" i="9"/>
  <c r="T297" i="9"/>
  <c r="H299" i="9"/>
  <c r="S299" i="9"/>
  <c r="H294" i="9"/>
  <c r="S294" i="9"/>
  <c r="O303" i="9"/>
  <c r="Z303" i="9"/>
  <c r="H292" i="9"/>
  <c r="S292" i="9"/>
  <c r="G292" i="9"/>
  <c r="R292" i="9"/>
  <c r="J294" i="9"/>
  <c r="U294" i="9"/>
  <c r="K304" i="9"/>
  <c r="V304" i="9"/>
  <c r="M294" i="9"/>
  <c r="X294" i="9"/>
  <c r="M304" i="9"/>
  <c r="X304" i="9"/>
  <c r="F306" i="9"/>
  <c r="Q306" i="9"/>
  <c r="P26" i="9"/>
  <c r="K868" i="9"/>
  <c r="V868" i="9"/>
  <c r="M870" i="9"/>
  <c r="X870" i="9"/>
  <c r="N872" i="9"/>
  <c r="Y872" i="9"/>
  <c r="O874" i="9"/>
  <c r="Z874" i="9"/>
  <c r="G877" i="9"/>
  <c r="R877" i="9"/>
  <c r="H879" i="9"/>
  <c r="S879" i="9"/>
  <c r="I881" i="9"/>
  <c r="T881" i="9"/>
  <c r="G867" i="9"/>
  <c r="R867" i="9"/>
  <c r="H869" i="9"/>
  <c r="S869" i="9"/>
  <c r="I871" i="9"/>
  <c r="T871" i="9"/>
  <c r="K873" i="9"/>
  <c r="V873" i="9"/>
  <c r="L875" i="9"/>
  <c r="W875" i="9"/>
  <c r="M877" i="9"/>
  <c r="X877" i="9"/>
  <c r="O879" i="9"/>
  <c r="Z879" i="9"/>
  <c r="F882" i="9"/>
  <c r="Q882" i="9"/>
  <c r="F870" i="9"/>
  <c r="Q870" i="9"/>
  <c r="I874" i="9"/>
  <c r="T874" i="9"/>
  <c r="K878" i="9"/>
  <c r="V878" i="9"/>
  <c r="N882" i="9"/>
  <c r="Y882" i="9"/>
  <c r="J870" i="9"/>
  <c r="U870" i="9"/>
  <c r="M874" i="9"/>
  <c r="X874" i="9"/>
  <c r="O878" i="9"/>
  <c r="Z878" i="9"/>
  <c r="I867" i="9"/>
  <c r="T867" i="9"/>
  <c r="O875" i="9"/>
  <c r="Z875" i="9"/>
  <c r="J868" i="9"/>
  <c r="U868" i="9"/>
  <c r="N868" i="9"/>
  <c r="Y868" i="9"/>
  <c r="I877" i="9"/>
  <c r="T877" i="9"/>
  <c r="F872" i="9"/>
  <c r="Q872" i="9"/>
  <c r="K880" i="9"/>
  <c r="V880" i="9"/>
  <c r="G879" i="9"/>
  <c r="R879" i="9"/>
  <c r="H878" i="9"/>
  <c r="S878" i="9"/>
  <c r="N871" i="9"/>
  <c r="Y871" i="9"/>
  <c r="F881" i="9"/>
  <c r="Q881" i="9"/>
  <c r="L874" i="9"/>
  <c r="W874" i="9"/>
  <c r="H868" i="9"/>
  <c r="S868" i="9"/>
  <c r="L872" i="9"/>
  <c r="W872" i="9"/>
  <c r="N881" i="9"/>
  <c r="Y881" i="9"/>
  <c r="F869" i="9"/>
  <c r="Q869" i="9"/>
  <c r="H880" i="9"/>
  <c r="S880" i="9"/>
  <c r="L870" i="9"/>
  <c r="W870" i="9"/>
  <c r="F867" i="9"/>
  <c r="Q867" i="9"/>
  <c r="L869" i="9"/>
  <c r="W869" i="9"/>
  <c r="I872" i="9"/>
  <c r="T872" i="9"/>
  <c r="K875" i="9"/>
  <c r="V875" i="9"/>
  <c r="G878" i="9"/>
  <c r="R878" i="9"/>
  <c r="N880" i="9"/>
  <c r="Y880" i="9"/>
  <c r="L867" i="9"/>
  <c r="W867" i="9"/>
  <c r="I870" i="9"/>
  <c r="T870" i="9"/>
  <c r="O872" i="9"/>
  <c r="Z872" i="9"/>
  <c r="G876" i="9"/>
  <c r="R876" i="9"/>
  <c r="N878" i="9"/>
  <c r="Y878" i="9"/>
  <c r="K881" i="9"/>
  <c r="V881" i="9"/>
  <c r="G871" i="9"/>
  <c r="R871" i="9"/>
  <c r="J876" i="9"/>
  <c r="U876" i="9"/>
  <c r="M881" i="9"/>
  <c r="X881" i="9"/>
  <c r="K871" i="9"/>
  <c r="V871" i="9"/>
  <c r="N876" i="9"/>
  <c r="Y876" i="9"/>
  <c r="G882" i="9"/>
  <c r="R882" i="9"/>
  <c r="F878" i="9"/>
  <c r="Q878" i="9"/>
  <c r="O876" i="9"/>
  <c r="Z876" i="9"/>
  <c r="H875" i="9"/>
  <c r="S875" i="9"/>
  <c r="G874" i="9"/>
  <c r="R874" i="9"/>
  <c r="K870" i="9"/>
  <c r="V870" i="9"/>
  <c r="N879" i="9"/>
  <c r="Y879" i="9"/>
  <c r="H870" i="9"/>
  <c r="S870" i="9"/>
  <c r="N877" i="9"/>
  <c r="Y877" i="9"/>
  <c r="N869" i="9"/>
  <c r="Y869" i="9"/>
  <c r="J869" i="9"/>
  <c r="U869" i="9"/>
  <c r="J875" i="9"/>
  <c r="U875" i="9"/>
  <c r="N867" i="9"/>
  <c r="Y867" i="9"/>
  <c r="G869" i="9"/>
  <c r="R869" i="9"/>
  <c r="I873" i="9"/>
  <c r="T873" i="9"/>
  <c r="K876" i="9"/>
  <c r="V876" i="9"/>
  <c r="I880" i="9"/>
  <c r="T880" i="9"/>
  <c r="G868" i="9"/>
  <c r="R868" i="9"/>
  <c r="O871" i="9"/>
  <c r="Z871" i="9"/>
  <c r="G875" i="9"/>
  <c r="R875" i="9"/>
  <c r="I879" i="9"/>
  <c r="T879" i="9"/>
  <c r="O867" i="9"/>
  <c r="Z867" i="9"/>
  <c r="I875" i="9"/>
  <c r="T875" i="9"/>
  <c r="H867" i="9"/>
  <c r="S867" i="9"/>
  <c r="L873" i="9"/>
  <c r="W873" i="9"/>
  <c r="G881" i="9"/>
  <c r="R881" i="9"/>
  <c r="G880" i="9"/>
  <c r="R880" i="9"/>
  <c r="O870" i="9"/>
  <c r="Z870" i="9"/>
  <c r="O869" i="9"/>
  <c r="Z869" i="9"/>
  <c r="N874" i="9"/>
  <c r="Y874" i="9"/>
  <c r="F875" i="9"/>
  <c r="Q875" i="9"/>
  <c r="J879" i="9"/>
  <c r="U879" i="9"/>
  <c r="H882" i="9"/>
  <c r="S882" i="9"/>
  <c r="F871" i="9"/>
  <c r="Q871" i="9"/>
  <c r="H874" i="9"/>
  <c r="S874" i="9"/>
  <c r="M879" i="9"/>
  <c r="X879" i="9"/>
  <c r="F876" i="9"/>
  <c r="Q876" i="9"/>
  <c r="M869" i="9"/>
  <c r="X869" i="9"/>
  <c r="J880" i="9"/>
  <c r="U880" i="9"/>
  <c r="M880" i="9"/>
  <c r="X880" i="9"/>
  <c r="L871" i="9"/>
  <c r="W871" i="9"/>
  <c r="I876" i="9"/>
  <c r="T876" i="9"/>
  <c r="F879" i="9"/>
  <c r="Q879" i="9"/>
  <c r="N873" i="9"/>
  <c r="Y873" i="9"/>
  <c r="F868" i="9"/>
  <c r="Q868" i="9"/>
  <c r="O873" i="9"/>
  <c r="Z873" i="9"/>
  <c r="M878" i="9"/>
  <c r="X878" i="9"/>
  <c r="O882" i="9"/>
  <c r="Z882" i="9"/>
  <c r="J872" i="9"/>
  <c r="U872" i="9"/>
  <c r="H877" i="9"/>
  <c r="S877" i="9"/>
  <c r="K882" i="9"/>
  <c r="V882" i="9"/>
  <c r="K877" i="9"/>
  <c r="V877" i="9"/>
  <c r="I869" i="9"/>
  <c r="T869" i="9"/>
  <c r="F880" i="9"/>
  <c r="Q880" i="9"/>
  <c r="I882" i="9"/>
  <c r="T882" i="9"/>
  <c r="L881" i="9"/>
  <c r="W881" i="9"/>
  <c r="M882" i="9"/>
  <c r="X882" i="9"/>
  <c r="J873" i="9"/>
  <c r="U873" i="9"/>
  <c r="F873" i="9"/>
  <c r="Q873" i="9"/>
  <c r="J877" i="9"/>
  <c r="U877" i="9"/>
  <c r="J867" i="9"/>
  <c r="U867" i="9"/>
  <c r="G870" i="9"/>
  <c r="R870" i="9"/>
  <c r="J874" i="9"/>
  <c r="U874" i="9"/>
  <c r="M868" i="9"/>
  <c r="X868" i="9"/>
  <c r="F874" i="9"/>
  <c r="Q874" i="9"/>
  <c r="I878" i="9"/>
  <c r="T878" i="9"/>
  <c r="O868" i="9"/>
  <c r="Z868" i="9"/>
  <c r="L879" i="9"/>
  <c r="W879" i="9"/>
  <c r="K872" i="9"/>
  <c r="V872" i="9"/>
  <c r="K869" i="9"/>
  <c r="V869" i="9"/>
  <c r="M872" i="9"/>
  <c r="X872" i="9"/>
  <c r="M867" i="9"/>
  <c r="X867" i="9"/>
  <c r="K879" i="9"/>
  <c r="V879" i="9"/>
  <c r="L868" i="9"/>
  <c r="W868" i="9"/>
  <c r="J871" i="9"/>
  <c r="U871" i="9"/>
  <c r="L878" i="9"/>
  <c r="W878" i="9"/>
  <c r="F877" i="9"/>
  <c r="Q877" i="9"/>
  <c r="H871" i="9"/>
  <c r="S871" i="9"/>
  <c r="O881" i="9"/>
  <c r="Z881" i="9"/>
  <c r="K874" i="9"/>
  <c r="V874" i="9"/>
  <c r="G872" i="9"/>
  <c r="R872" i="9"/>
  <c r="M875" i="9"/>
  <c r="X875" i="9"/>
  <c r="H881" i="9"/>
  <c r="S881" i="9"/>
  <c r="J881" i="9"/>
  <c r="U881" i="9"/>
  <c r="L882" i="9"/>
  <c r="W882" i="9"/>
  <c r="H872" i="9"/>
  <c r="S872" i="9"/>
  <c r="J882" i="9"/>
  <c r="U882" i="9"/>
  <c r="H873" i="9"/>
  <c r="S873" i="9"/>
  <c r="G873" i="9"/>
  <c r="R873" i="9"/>
  <c r="N875" i="9"/>
  <c r="Y875" i="9"/>
  <c r="M871" i="9"/>
  <c r="X871" i="9"/>
  <c r="O877" i="9"/>
  <c r="Z877" i="9"/>
  <c r="L877" i="9"/>
  <c r="W877" i="9"/>
  <c r="O880" i="9"/>
  <c r="Z880" i="9"/>
  <c r="M873" i="9"/>
  <c r="X873" i="9"/>
  <c r="H876" i="9"/>
  <c r="S876" i="9"/>
  <c r="K867" i="9"/>
  <c r="V867" i="9"/>
  <c r="N870" i="9"/>
  <c r="Y870" i="9"/>
  <c r="I868" i="9"/>
  <c r="T868" i="9"/>
  <c r="J878" i="9"/>
  <c r="U878" i="9"/>
  <c r="L880" i="9"/>
  <c r="W880" i="9"/>
  <c r="M876" i="9"/>
  <c r="X876" i="9"/>
  <c r="L876" i="9"/>
  <c r="W876" i="9"/>
  <c r="L274" i="9"/>
  <c r="W274" i="9"/>
  <c r="J261" i="9"/>
  <c r="U261" i="9"/>
  <c r="N266" i="9"/>
  <c r="Y266" i="9"/>
  <c r="I259" i="9"/>
  <c r="T259" i="9"/>
  <c r="I263" i="9"/>
  <c r="T263" i="9"/>
  <c r="F260" i="9"/>
  <c r="Q260" i="9"/>
  <c r="I268" i="9"/>
  <c r="T268" i="9"/>
  <c r="G268" i="9"/>
  <c r="R268" i="9"/>
  <c r="I272" i="9"/>
  <c r="T272" i="9"/>
  <c r="F264" i="9"/>
  <c r="Q264" i="9"/>
  <c r="H262" i="9"/>
  <c r="S262" i="9"/>
  <c r="L264" i="9"/>
  <c r="W264" i="9"/>
  <c r="H265" i="9"/>
  <c r="S265" i="9"/>
  <c r="K273" i="9"/>
  <c r="V273" i="9"/>
  <c r="G260" i="9"/>
  <c r="R260" i="9"/>
  <c r="H260" i="9"/>
  <c r="S260" i="9"/>
  <c r="M266" i="9"/>
  <c r="X266" i="9"/>
  <c r="O264" i="9"/>
  <c r="Z264" i="9"/>
  <c r="N268" i="9"/>
  <c r="Y268" i="9"/>
  <c r="J259" i="9"/>
  <c r="U259" i="9"/>
  <c r="N263" i="9"/>
  <c r="Y263" i="9"/>
  <c r="N267" i="9"/>
  <c r="Y267" i="9"/>
  <c r="L263" i="9"/>
  <c r="W263" i="9"/>
  <c r="O271" i="9"/>
  <c r="Z271" i="9"/>
  <c r="M272" i="9"/>
  <c r="X272" i="9"/>
  <c r="O274" i="9"/>
  <c r="Z274" i="9"/>
  <c r="G265" i="9"/>
  <c r="R265" i="9"/>
  <c r="M261" i="9"/>
  <c r="X261" i="9"/>
  <c r="J262" i="9"/>
  <c r="U262" i="9"/>
  <c r="I269" i="9"/>
  <c r="T269" i="9"/>
  <c r="F273" i="9"/>
  <c r="Q273" i="9"/>
  <c r="N273" i="9"/>
  <c r="Y273" i="9"/>
  <c r="J268" i="9"/>
  <c r="U268" i="9"/>
  <c r="O260" i="9"/>
  <c r="Z260" i="9"/>
  <c r="K266" i="9"/>
  <c r="V266" i="9"/>
  <c r="L261" i="9"/>
  <c r="W261" i="9"/>
  <c r="O269" i="9"/>
  <c r="Z269" i="9"/>
  <c r="I271" i="9"/>
  <c r="T271" i="9"/>
  <c r="M262" i="9"/>
  <c r="X262" i="9"/>
  <c r="J270" i="9"/>
  <c r="U270" i="9"/>
  <c r="J273" i="9"/>
  <c r="U273" i="9"/>
  <c r="G272" i="9"/>
  <c r="R272" i="9"/>
  <c r="N272" i="9"/>
  <c r="Y272" i="9"/>
  <c r="N270" i="9"/>
  <c r="Y270" i="9"/>
  <c r="L265" i="9"/>
  <c r="W265" i="9"/>
  <c r="L262" i="9"/>
  <c r="W262" i="9"/>
  <c r="L270" i="9"/>
  <c r="W270" i="9"/>
  <c r="M260" i="9"/>
  <c r="X260" i="9"/>
  <c r="M263" i="9"/>
  <c r="X263" i="9"/>
  <c r="H267" i="9"/>
  <c r="S267" i="9"/>
  <c r="F265" i="9"/>
  <c r="Q265" i="9"/>
  <c r="H274" i="9"/>
  <c r="S274" i="9"/>
  <c r="H269" i="9"/>
  <c r="S269" i="9"/>
  <c r="G262" i="9"/>
  <c r="R262" i="9"/>
  <c r="N260" i="9"/>
  <c r="Y260" i="9"/>
  <c r="G259" i="9"/>
  <c r="R259" i="9"/>
  <c r="L272" i="9"/>
  <c r="W272" i="9"/>
  <c r="O263" i="9"/>
  <c r="Z263" i="9"/>
  <c r="O266" i="9"/>
  <c r="Z266" i="9"/>
  <c r="K261" i="9"/>
  <c r="V261" i="9"/>
  <c r="H268" i="9"/>
  <c r="S268" i="9"/>
  <c r="H273" i="9"/>
  <c r="S273" i="9"/>
  <c r="L259" i="9"/>
  <c r="W259" i="9"/>
  <c r="F267" i="9"/>
  <c r="Q267" i="9"/>
  <c r="F263" i="9"/>
  <c r="Q263" i="9"/>
  <c r="J260" i="9"/>
  <c r="U260" i="9"/>
  <c r="M268" i="9"/>
  <c r="X268" i="9"/>
  <c r="I266" i="9"/>
  <c r="T266" i="9"/>
  <c r="M271" i="9"/>
  <c r="X271" i="9"/>
  <c r="O261" i="9"/>
  <c r="Z261" i="9"/>
  <c r="G271" i="9"/>
  <c r="R271" i="9"/>
  <c r="M267" i="9"/>
  <c r="X267" i="9"/>
  <c r="O265" i="9"/>
  <c r="Z265" i="9"/>
  <c r="L268" i="9"/>
  <c r="W268" i="9"/>
  <c r="H266" i="9"/>
  <c r="S266" i="9"/>
  <c r="L260" i="9"/>
  <c r="W260" i="9"/>
  <c r="G267" i="9"/>
  <c r="R267" i="9"/>
  <c r="G263" i="9"/>
  <c r="R263" i="9"/>
  <c r="G270" i="9"/>
  <c r="R270" i="9"/>
  <c r="I260" i="9"/>
  <c r="T260" i="9"/>
  <c r="O267" i="9"/>
  <c r="Z267" i="9"/>
  <c r="I261" i="9"/>
  <c r="T261" i="9"/>
  <c r="K259" i="9"/>
  <c r="V259" i="9"/>
  <c r="H270" i="9"/>
  <c r="S270" i="9"/>
  <c r="J269" i="9"/>
  <c r="U269" i="9"/>
  <c r="F259" i="9"/>
  <c r="Q259" i="9"/>
  <c r="K265" i="9"/>
  <c r="V265" i="9"/>
  <c r="O259" i="9"/>
  <c r="Z259" i="9"/>
  <c r="K268" i="9"/>
  <c r="V268" i="9"/>
  <c r="F274" i="9"/>
  <c r="Q274" i="9"/>
  <c r="M264" i="9"/>
  <c r="X264" i="9"/>
  <c r="I264" i="9"/>
  <c r="T264" i="9"/>
  <c r="M270" i="9"/>
  <c r="X270" i="9"/>
  <c r="J265" i="9"/>
  <c r="U265" i="9"/>
  <c r="F271" i="9"/>
  <c r="Q271" i="9"/>
  <c r="F262" i="9"/>
  <c r="Q262" i="9"/>
  <c r="I270" i="9"/>
  <c r="T270" i="9"/>
  <c r="K269" i="9"/>
  <c r="V269" i="9"/>
  <c r="I273" i="9"/>
  <c r="T273" i="9"/>
  <c r="K263" i="9"/>
  <c r="V263" i="9"/>
  <c r="I274" i="9"/>
  <c r="T274" i="9"/>
  <c r="G274" i="9"/>
  <c r="R274" i="9"/>
  <c r="O262" i="9"/>
  <c r="Z262" i="9"/>
  <c r="N261" i="9"/>
  <c r="Y261" i="9"/>
  <c r="H264" i="9"/>
  <c r="S264" i="9"/>
  <c r="I262" i="9"/>
  <c r="T262" i="9"/>
  <c r="I265" i="9"/>
  <c r="T265" i="9"/>
  <c r="L273" i="9"/>
  <c r="W273" i="9"/>
  <c r="J263" i="9"/>
  <c r="U263" i="9"/>
  <c r="K270" i="9"/>
  <c r="V270" i="9"/>
  <c r="H271" i="9"/>
  <c r="S271" i="9"/>
  <c r="L267" i="9"/>
  <c r="W267" i="9"/>
  <c r="H259" i="9"/>
  <c r="S259" i="9"/>
  <c r="N265" i="9"/>
  <c r="Y265" i="9"/>
  <c r="O268" i="9"/>
  <c r="Z268" i="9"/>
  <c r="L269" i="9"/>
  <c r="W269" i="9"/>
  <c r="F266" i="9"/>
  <c r="Q266" i="9"/>
  <c r="O270" i="9"/>
  <c r="Z270" i="9"/>
  <c r="N271" i="9"/>
  <c r="Y271" i="9"/>
  <c r="M273" i="9"/>
  <c r="X273" i="9"/>
  <c r="J274" i="9"/>
  <c r="U274" i="9"/>
  <c r="J272" i="9"/>
  <c r="U272" i="9"/>
  <c r="F272" i="9"/>
  <c r="Q272" i="9"/>
  <c r="H272" i="9"/>
  <c r="S272" i="9"/>
  <c r="M265" i="9"/>
  <c r="X265" i="9"/>
  <c r="H261" i="9"/>
  <c r="S261" i="9"/>
  <c r="G266" i="9"/>
  <c r="R266" i="9"/>
  <c r="L271" i="9"/>
  <c r="W271" i="9"/>
  <c r="G273" i="9"/>
  <c r="R273" i="9"/>
  <c r="J271" i="9"/>
  <c r="U271" i="9"/>
  <c r="M269" i="9"/>
  <c r="X269" i="9"/>
  <c r="G269" i="9"/>
  <c r="R269" i="9"/>
  <c r="N274" i="9"/>
  <c r="Y274" i="9"/>
  <c r="K260" i="9"/>
  <c r="V260" i="9"/>
  <c r="J266" i="9"/>
  <c r="U266" i="9"/>
  <c r="O273" i="9"/>
  <c r="Z273" i="9"/>
  <c r="G264" i="9"/>
  <c r="R264" i="9"/>
  <c r="N259" i="9"/>
  <c r="Y259" i="9"/>
  <c r="J267" i="9"/>
  <c r="U267" i="9"/>
  <c r="H263" i="9"/>
  <c r="S263" i="9"/>
  <c r="G261" i="9"/>
  <c r="R261" i="9"/>
  <c r="I267" i="9"/>
  <c r="T267" i="9"/>
  <c r="N262" i="9"/>
  <c r="Y262" i="9"/>
  <c r="M274" i="9"/>
  <c r="X274" i="9"/>
  <c r="N269" i="9"/>
  <c r="Y269" i="9"/>
  <c r="O272" i="9"/>
  <c r="Z272" i="9"/>
  <c r="M259" i="9"/>
  <c r="X259" i="9"/>
  <c r="F270" i="9"/>
  <c r="Q270" i="9"/>
  <c r="K271" i="9"/>
  <c r="V271" i="9"/>
  <c r="L266" i="9"/>
  <c r="W266" i="9"/>
  <c r="J264" i="9"/>
  <c r="U264" i="9"/>
  <c r="K272" i="9"/>
  <c r="V272" i="9"/>
  <c r="F261" i="9"/>
  <c r="Q261" i="9"/>
  <c r="N264" i="9"/>
  <c r="Y264" i="9"/>
  <c r="K267" i="9"/>
  <c r="V267" i="9"/>
  <c r="K262" i="9"/>
  <c r="V262" i="9"/>
  <c r="K274" i="9"/>
  <c r="V274" i="9"/>
  <c r="F269" i="9"/>
  <c r="Q269" i="9"/>
  <c r="F268" i="9"/>
  <c r="Q268" i="9"/>
  <c r="K264" i="9"/>
  <c r="V264" i="9"/>
  <c r="P68" i="9"/>
  <c r="P108" i="9"/>
  <c r="G899" i="9"/>
  <c r="R899" i="9"/>
  <c r="N900" i="9"/>
  <c r="Y900" i="9"/>
  <c r="O902" i="9"/>
  <c r="Z902" i="9"/>
  <c r="F905" i="9"/>
  <c r="Q905" i="9"/>
  <c r="H907" i="9"/>
  <c r="S907" i="9"/>
  <c r="I909" i="9"/>
  <c r="T909" i="9"/>
  <c r="J911" i="9"/>
  <c r="U911" i="9"/>
  <c r="L913" i="9"/>
  <c r="W913" i="9"/>
  <c r="N899" i="9"/>
  <c r="Y899" i="9"/>
  <c r="F902" i="9"/>
  <c r="Q902" i="9"/>
  <c r="G904" i="9"/>
  <c r="R904" i="9"/>
  <c r="H906" i="9"/>
  <c r="S906" i="9"/>
  <c r="J908" i="9"/>
  <c r="U908" i="9"/>
  <c r="K910" i="9"/>
  <c r="V910" i="9"/>
  <c r="L912" i="9"/>
  <c r="W912" i="9"/>
  <c r="N914" i="9"/>
  <c r="Y914" i="9"/>
  <c r="H902" i="9"/>
  <c r="S902" i="9"/>
  <c r="K906" i="9"/>
  <c r="V906" i="9"/>
  <c r="N910" i="9"/>
  <c r="Y910" i="9"/>
  <c r="J899" i="9"/>
  <c r="U899" i="9"/>
  <c r="M903" i="9"/>
  <c r="X903" i="9"/>
  <c r="F908" i="9"/>
  <c r="Q908" i="9"/>
  <c r="H912" i="9"/>
  <c r="S912" i="9"/>
  <c r="M901" i="9"/>
  <c r="X901" i="9"/>
  <c r="H910" i="9"/>
  <c r="S910" i="9"/>
  <c r="F907" i="9"/>
  <c r="Q907" i="9"/>
  <c r="I905" i="9"/>
  <c r="T905" i="9"/>
  <c r="N913" i="9"/>
  <c r="Y913" i="9"/>
  <c r="J906" i="9"/>
  <c r="U906" i="9"/>
  <c r="O914" i="9"/>
  <c r="Z914" i="9"/>
  <c r="J913" i="9"/>
  <c r="U913" i="9"/>
  <c r="K909" i="9"/>
  <c r="V909" i="9"/>
  <c r="G903" i="9"/>
  <c r="R903" i="9"/>
  <c r="I912" i="9"/>
  <c r="T912" i="9"/>
  <c r="O905" i="9"/>
  <c r="Z905" i="9"/>
  <c r="K899" i="9"/>
  <c r="V899" i="9"/>
  <c r="O903" i="9"/>
  <c r="Z903" i="9"/>
  <c r="M906" i="9"/>
  <c r="X906" i="9"/>
  <c r="M908" i="9"/>
  <c r="X908" i="9"/>
  <c r="I908" i="9"/>
  <c r="T908" i="9"/>
  <c r="M899" i="9"/>
  <c r="X899" i="9"/>
  <c r="J902" i="9"/>
  <c r="U902" i="9"/>
  <c r="L905" i="9"/>
  <c r="W905" i="9"/>
  <c r="H908" i="9"/>
  <c r="S908" i="9"/>
  <c r="O910" i="9"/>
  <c r="Z910" i="9"/>
  <c r="G914" i="9"/>
  <c r="R914" i="9"/>
  <c r="O900" i="9"/>
  <c r="Z900" i="9"/>
  <c r="L903" i="9"/>
  <c r="W903" i="9"/>
  <c r="N906" i="9"/>
  <c r="Y906" i="9"/>
  <c r="J909" i="9"/>
  <c r="U909" i="9"/>
  <c r="G912" i="9"/>
  <c r="R912" i="9"/>
  <c r="F899" i="9"/>
  <c r="Q899" i="9"/>
  <c r="J904" i="9"/>
  <c r="U904" i="9"/>
  <c r="M909" i="9"/>
  <c r="X909" i="9"/>
  <c r="K900" i="9"/>
  <c r="V900" i="9"/>
  <c r="N905" i="9"/>
  <c r="Y905" i="9"/>
  <c r="H911" i="9"/>
  <c r="S911" i="9"/>
  <c r="N903" i="9"/>
  <c r="Y903" i="9"/>
  <c r="K914" i="9"/>
  <c r="V914" i="9"/>
  <c r="H903" i="9"/>
  <c r="S903" i="9"/>
  <c r="F900" i="9"/>
  <c r="Q900" i="9"/>
  <c r="L910" i="9"/>
  <c r="W910" i="9"/>
  <c r="H909" i="9"/>
  <c r="S909" i="9"/>
  <c r="O907" i="9"/>
  <c r="Z907" i="9"/>
  <c r="O899" i="9"/>
  <c r="Z899" i="9"/>
  <c r="K907" i="9"/>
  <c r="V907" i="9"/>
  <c r="K913" i="9"/>
  <c r="V913" i="9"/>
  <c r="G913" i="9"/>
  <c r="R913" i="9"/>
  <c r="O911" i="9"/>
  <c r="Z911" i="9"/>
  <c r="M914" i="9"/>
  <c r="X914" i="9"/>
  <c r="H900" i="9"/>
  <c r="S900" i="9"/>
  <c r="F904" i="9"/>
  <c r="Q904" i="9"/>
  <c r="M907" i="9"/>
  <c r="X907" i="9"/>
  <c r="F912" i="9"/>
  <c r="Q912" i="9"/>
  <c r="I899" i="9"/>
  <c r="T899" i="9"/>
  <c r="F903" i="9"/>
  <c r="Q903" i="9"/>
  <c r="I907" i="9"/>
  <c r="T907" i="9"/>
  <c r="F911" i="9"/>
  <c r="Q911" i="9"/>
  <c r="H914" i="9"/>
  <c r="S914" i="9"/>
  <c r="J905" i="9"/>
  <c r="U905" i="9"/>
  <c r="O912" i="9"/>
  <c r="Z912" i="9"/>
  <c r="N904" i="9"/>
  <c r="Y904" i="9"/>
  <c r="I913" i="9"/>
  <c r="T913" i="9"/>
  <c r="G908" i="9"/>
  <c r="R908" i="9"/>
  <c r="F901" i="9"/>
  <c r="Q901" i="9"/>
  <c r="G902" i="9"/>
  <c r="R902" i="9"/>
  <c r="L900" i="9"/>
  <c r="W900" i="9"/>
  <c r="G911" i="9"/>
  <c r="R911" i="9"/>
  <c r="O913" i="9"/>
  <c r="Z913" i="9"/>
  <c r="M902" i="9"/>
  <c r="X902" i="9"/>
  <c r="M900" i="9"/>
  <c r="X900" i="9"/>
  <c r="K905" i="9"/>
  <c r="V905" i="9"/>
  <c r="K911" i="9"/>
  <c r="V911" i="9"/>
  <c r="N901" i="9"/>
  <c r="Y901" i="9"/>
  <c r="L906" i="9"/>
  <c r="W906" i="9"/>
  <c r="K912" i="9"/>
  <c r="V912" i="9"/>
  <c r="J901" i="9"/>
  <c r="U901" i="9"/>
  <c r="M905" i="9"/>
  <c r="X905" i="9"/>
  <c r="L911" i="9"/>
  <c r="W911" i="9"/>
  <c r="H901" i="9"/>
  <c r="S901" i="9"/>
  <c r="N911" i="9"/>
  <c r="Y911" i="9"/>
  <c r="O906" i="9"/>
  <c r="Z906" i="9"/>
  <c r="L899" i="9"/>
  <c r="W899" i="9"/>
  <c r="I911" i="9"/>
  <c r="T911" i="9"/>
  <c r="H904" i="9"/>
  <c r="S904" i="9"/>
  <c r="I914" i="9"/>
  <c r="T914" i="9"/>
  <c r="K901" i="9"/>
  <c r="V901" i="9"/>
  <c r="G901" i="9"/>
  <c r="R901" i="9"/>
  <c r="K903" i="9"/>
  <c r="V903" i="9"/>
  <c r="O901" i="9"/>
  <c r="Z901" i="9"/>
  <c r="H905" i="9"/>
  <c r="S905" i="9"/>
  <c r="H899" i="9"/>
  <c r="S899" i="9"/>
  <c r="G906" i="9"/>
  <c r="R906" i="9"/>
  <c r="F913" i="9"/>
  <c r="Q913" i="9"/>
  <c r="L904" i="9"/>
  <c r="W904" i="9"/>
  <c r="F910" i="9"/>
  <c r="Q910" i="9"/>
  <c r="I903" i="9"/>
  <c r="T903" i="9"/>
  <c r="L901" i="9"/>
  <c r="W901" i="9"/>
  <c r="J914" i="9"/>
  <c r="U914" i="9"/>
  <c r="J907" i="9"/>
  <c r="U907" i="9"/>
  <c r="N912" i="9"/>
  <c r="Y912" i="9"/>
  <c r="M904" i="9"/>
  <c r="X904" i="9"/>
  <c r="I910" i="9"/>
  <c r="T910" i="9"/>
  <c r="I902" i="9"/>
  <c r="T902" i="9"/>
  <c r="I901" i="9"/>
  <c r="T901" i="9"/>
  <c r="N908" i="9"/>
  <c r="Y908" i="9"/>
  <c r="L914" i="9"/>
  <c r="W914" i="9"/>
  <c r="H913" i="9"/>
  <c r="S913" i="9"/>
  <c r="L907" i="9"/>
  <c r="W907" i="9"/>
  <c r="L902" i="9"/>
  <c r="W902" i="9"/>
  <c r="F906" i="9"/>
  <c r="Q906" i="9"/>
  <c r="L909" i="9"/>
  <c r="W909" i="9"/>
  <c r="O904" i="9"/>
  <c r="Z904" i="9"/>
  <c r="M910" i="9"/>
  <c r="X910" i="9"/>
  <c r="G907" i="9"/>
  <c r="R907" i="9"/>
  <c r="G905" i="9"/>
  <c r="R905" i="9"/>
  <c r="J903" i="9"/>
  <c r="U903" i="9"/>
  <c r="N909" i="9"/>
  <c r="Y909" i="9"/>
  <c r="J900" i="9"/>
  <c r="U900" i="9"/>
  <c r="N907" i="9"/>
  <c r="Y907" i="9"/>
  <c r="M913" i="9"/>
  <c r="X913" i="9"/>
  <c r="L908" i="9"/>
  <c r="W908" i="9"/>
  <c r="F909" i="9"/>
  <c r="Q909" i="9"/>
  <c r="J912" i="9"/>
  <c r="U912" i="9"/>
  <c r="M911" i="9"/>
  <c r="X911" i="9"/>
  <c r="M912" i="9"/>
  <c r="X912" i="9"/>
  <c r="G909" i="9"/>
  <c r="R909" i="9"/>
  <c r="O909" i="9"/>
  <c r="Z909" i="9"/>
  <c r="K904" i="9"/>
  <c r="V904" i="9"/>
  <c r="G900" i="9"/>
  <c r="R900" i="9"/>
  <c r="K908" i="9"/>
  <c r="V908" i="9"/>
  <c r="O908" i="9"/>
  <c r="Z908" i="9"/>
  <c r="N902" i="9"/>
  <c r="Y902" i="9"/>
  <c r="I900" i="9"/>
  <c r="T900" i="9"/>
  <c r="J910" i="9"/>
  <c r="U910" i="9"/>
  <c r="F914" i="9"/>
  <c r="Q914" i="9"/>
  <c r="I906" i="9"/>
  <c r="T906" i="9"/>
  <c r="K902" i="9"/>
  <c r="V902" i="9"/>
  <c r="G910" i="9"/>
  <c r="R910" i="9"/>
  <c r="I904" i="9"/>
  <c r="T904" i="9"/>
  <c r="L787" i="9"/>
  <c r="W787" i="9"/>
  <c r="M789" i="9"/>
  <c r="X789" i="9"/>
  <c r="N791" i="9"/>
  <c r="Y791" i="9"/>
  <c r="F794" i="9"/>
  <c r="Q794" i="9"/>
  <c r="G796" i="9"/>
  <c r="R796" i="9"/>
  <c r="H798" i="9"/>
  <c r="S798" i="9"/>
  <c r="J800" i="9"/>
  <c r="U800" i="9"/>
  <c r="K802" i="9"/>
  <c r="V802" i="9"/>
  <c r="N788" i="9"/>
  <c r="Y788" i="9"/>
  <c r="O790" i="9"/>
  <c r="Z790" i="9"/>
  <c r="F793" i="9"/>
  <c r="Q793" i="9"/>
  <c r="H795" i="9"/>
  <c r="S795" i="9"/>
  <c r="I797" i="9"/>
  <c r="T797" i="9"/>
  <c r="J799" i="9"/>
  <c r="U799" i="9"/>
  <c r="L801" i="9"/>
  <c r="W801" i="9"/>
  <c r="O788" i="9"/>
  <c r="Z788" i="9"/>
  <c r="H793" i="9"/>
  <c r="S793" i="9"/>
  <c r="J797" i="9"/>
  <c r="U797" i="9"/>
  <c r="M801" i="9"/>
  <c r="X801" i="9"/>
  <c r="G790" i="9"/>
  <c r="R790" i="9"/>
  <c r="J794" i="9"/>
  <c r="U794" i="9"/>
  <c r="L798" i="9"/>
  <c r="W798" i="9"/>
  <c r="O802" i="9"/>
  <c r="Z802" i="9"/>
  <c r="O794" i="9"/>
  <c r="Z794" i="9"/>
  <c r="K790" i="9"/>
  <c r="V790" i="9"/>
  <c r="J789" i="9"/>
  <c r="U789" i="9"/>
  <c r="F798" i="9"/>
  <c r="Q798" i="9"/>
  <c r="L789" i="9"/>
  <c r="W789" i="9"/>
  <c r="G798" i="9"/>
  <c r="R798" i="9"/>
  <c r="L792" i="9"/>
  <c r="W792" i="9"/>
  <c r="O799" i="9"/>
  <c r="Z799" i="9"/>
  <c r="K793" i="9"/>
  <c r="V793" i="9"/>
  <c r="M802" i="9"/>
  <c r="X802" i="9"/>
  <c r="I796" i="9"/>
  <c r="T796" i="9"/>
  <c r="O789" i="9"/>
  <c r="Z789" i="9"/>
  <c r="I794" i="9"/>
  <c r="T794" i="9"/>
  <c r="M792" i="9"/>
  <c r="X792" i="9"/>
  <c r="M790" i="9"/>
  <c r="X790" i="9"/>
  <c r="K789" i="9"/>
  <c r="V789" i="9"/>
  <c r="M798" i="9"/>
  <c r="X798" i="9"/>
  <c r="G788" i="9"/>
  <c r="R788" i="9"/>
  <c r="N790" i="9"/>
  <c r="Y790" i="9"/>
  <c r="J793" i="9"/>
  <c r="U793" i="9"/>
  <c r="L796" i="9"/>
  <c r="W796" i="9"/>
  <c r="I799" i="9"/>
  <c r="T799" i="9"/>
  <c r="F802" i="9"/>
  <c r="Q802" i="9"/>
  <c r="I789" i="9"/>
  <c r="T789" i="9"/>
  <c r="F792" i="9"/>
  <c r="Q792" i="9"/>
  <c r="L794" i="9"/>
  <c r="W794" i="9"/>
  <c r="N797" i="9"/>
  <c r="Y797" i="9"/>
  <c r="K800" i="9"/>
  <c r="V800" i="9"/>
  <c r="N787" i="9"/>
  <c r="Y787" i="9"/>
  <c r="H794" i="9"/>
  <c r="S794" i="9"/>
  <c r="L799" i="9"/>
  <c r="W799" i="9"/>
  <c r="F789" i="9"/>
  <c r="Q789" i="9"/>
  <c r="J795" i="9"/>
  <c r="U795" i="9"/>
  <c r="N800" i="9"/>
  <c r="Y800" i="9"/>
  <c r="N792" i="9"/>
  <c r="Y792" i="9"/>
  <c r="N794" i="9"/>
  <c r="Y794" i="9"/>
  <c r="M793" i="9"/>
  <c r="X793" i="9"/>
  <c r="J787" i="9"/>
  <c r="U787" i="9"/>
  <c r="H800" i="9"/>
  <c r="S800" i="9"/>
  <c r="F799" i="9"/>
  <c r="Q799" i="9"/>
  <c r="G795" i="9"/>
  <c r="R795" i="9"/>
  <c r="G801" i="9"/>
  <c r="R801" i="9"/>
  <c r="G793" i="9"/>
  <c r="R793" i="9"/>
  <c r="K797" i="9"/>
  <c r="V797" i="9"/>
  <c r="I800" i="9"/>
  <c r="T800" i="9"/>
  <c r="I802" i="9"/>
  <c r="T802" i="9"/>
  <c r="I792" i="9"/>
  <c r="T792" i="9"/>
  <c r="L788" i="9"/>
  <c r="W788" i="9"/>
  <c r="J792" i="9"/>
  <c r="U792" i="9"/>
  <c r="L795" i="9"/>
  <c r="W795" i="9"/>
  <c r="N799" i="9"/>
  <c r="Y799" i="9"/>
  <c r="M787" i="9"/>
  <c r="X787" i="9"/>
  <c r="J791" i="9"/>
  <c r="U791" i="9"/>
  <c r="M795" i="9"/>
  <c r="X795" i="9"/>
  <c r="O798" i="9"/>
  <c r="Z798" i="9"/>
  <c r="L802" i="9"/>
  <c r="W802" i="9"/>
  <c r="I795" i="9"/>
  <c r="T795" i="9"/>
  <c r="N802" i="9"/>
  <c r="Y802" i="9"/>
  <c r="I793" i="9"/>
  <c r="T793" i="9"/>
  <c r="N801" i="9"/>
  <c r="Y801" i="9"/>
  <c r="H799" i="9"/>
  <c r="S799" i="9"/>
  <c r="L791" i="9"/>
  <c r="W791" i="9"/>
  <c r="M791" i="9"/>
  <c r="X791" i="9"/>
  <c r="J788" i="9"/>
  <c r="U788" i="9"/>
  <c r="M796" i="9"/>
  <c r="X796" i="9"/>
  <c r="K799" i="9"/>
  <c r="V799" i="9"/>
  <c r="I788" i="9"/>
  <c r="T788" i="9"/>
  <c r="G799" i="9"/>
  <c r="R799" i="9"/>
  <c r="O795" i="9"/>
  <c r="Z795" i="9"/>
  <c r="F787" i="9"/>
  <c r="Q787" i="9"/>
  <c r="O792" i="9"/>
  <c r="Z792" i="9"/>
  <c r="M797" i="9"/>
  <c r="X797" i="9"/>
  <c r="H787" i="9"/>
  <c r="S787" i="9"/>
  <c r="K792" i="9"/>
  <c r="V792" i="9"/>
  <c r="N796" i="9"/>
  <c r="Y796" i="9"/>
  <c r="G802" i="9"/>
  <c r="R802" i="9"/>
  <c r="J796" i="9"/>
  <c r="U796" i="9"/>
  <c r="H791" i="9"/>
  <c r="S791" i="9"/>
  <c r="M799" i="9"/>
  <c r="X799" i="9"/>
  <c r="I801" i="9"/>
  <c r="T801" i="9"/>
  <c r="G800" i="9"/>
  <c r="R800" i="9"/>
  <c r="J802" i="9"/>
  <c r="U802" i="9"/>
  <c r="O791" i="9"/>
  <c r="Z791" i="9"/>
  <c r="M794" i="9"/>
  <c r="X794" i="9"/>
  <c r="O787" i="9"/>
  <c r="Z787" i="9"/>
  <c r="O801" i="9"/>
  <c r="Z801" i="9"/>
  <c r="H789" i="9"/>
  <c r="S789" i="9"/>
  <c r="F795" i="9"/>
  <c r="Q795" i="9"/>
  <c r="J801" i="9"/>
  <c r="U801" i="9"/>
  <c r="L793" i="9"/>
  <c r="W793" i="9"/>
  <c r="F800" i="9"/>
  <c r="Q800" i="9"/>
  <c r="G792" i="9"/>
  <c r="R792" i="9"/>
  <c r="H792" i="9"/>
  <c r="S792" i="9"/>
  <c r="L790" i="9"/>
  <c r="W790" i="9"/>
  <c r="N795" i="9"/>
  <c r="Y795" i="9"/>
  <c r="O796" i="9"/>
  <c r="Z796" i="9"/>
  <c r="M788" i="9"/>
  <c r="X788" i="9"/>
  <c r="G791" i="9"/>
  <c r="R791" i="9"/>
  <c r="G789" i="9"/>
  <c r="R789" i="9"/>
  <c r="G787" i="9"/>
  <c r="R787" i="9"/>
  <c r="K794" i="9"/>
  <c r="V794" i="9"/>
  <c r="O800" i="9"/>
  <c r="Z800" i="9"/>
  <c r="J790" i="9"/>
  <c r="U790" i="9"/>
  <c r="J798" i="9"/>
  <c r="U798" i="9"/>
  <c r="F791" i="9"/>
  <c r="Q791" i="9"/>
  <c r="F788" i="9"/>
  <c r="Q788" i="9"/>
  <c r="K788" i="9"/>
  <c r="V788" i="9"/>
  <c r="I787" i="9"/>
  <c r="T787" i="9"/>
  <c r="F796" i="9"/>
  <c r="Q796" i="9"/>
  <c r="I790" i="9"/>
  <c r="T790" i="9"/>
  <c r="M800" i="9"/>
  <c r="X800" i="9"/>
  <c r="K787" i="9"/>
  <c r="V787" i="9"/>
  <c r="N798" i="9"/>
  <c r="Y798" i="9"/>
  <c r="H796" i="9"/>
  <c r="S796" i="9"/>
  <c r="L800" i="9"/>
  <c r="W800" i="9"/>
  <c r="H801" i="9"/>
  <c r="S801" i="9"/>
  <c r="I798" i="9"/>
  <c r="T798" i="9"/>
  <c r="O793" i="9"/>
  <c r="Z793" i="9"/>
  <c r="H790" i="9"/>
  <c r="S790" i="9"/>
  <c r="H788" i="9"/>
  <c r="S788" i="9"/>
  <c r="F801" i="9"/>
  <c r="Q801" i="9"/>
  <c r="K796" i="9"/>
  <c r="V796" i="9"/>
  <c r="H802" i="9"/>
  <c r="S802" i="9"/>
  <c r="O797" i="9"/>
  <c r="Z797" i="9"/>
  <c r="K795" i="9"/>
  <c r="V795" i="9"/>
  <c r="I791" i="9"/>
  <c r="T791" i="9"/>
  <c r="N789" i="9"/>
  <c r="Y789" i="9"/>
  <c r="F790" i="9"/>
  <c r="Q790" i="9"/>
  <c r="L797" i="9"/>
  <c r="W797" i="9"/>
  <c r="N793" i="9"/>
  <c r="Y793" i="9"/>
  <c r="K791" i="9"/>
  <c r="V791" i="9"/>
  <c r="K798" i="9"/>
  <c r="V798" i="9"/>
  <c r="G794" i="9"/>
  <c r="R794" i="9"/>
  <c r="G797" i="9"/>
  <c r="R797" i="9"/>
  <c r="F797" i="9"/>
  <c r="Q797" i="9"/>
  <c r="H797" i="9"/>
  <c r="S797" i="9"/>
  <c r="K801" i="9"/>
  <c r="V801" i="9"/>
  <c r="J439" i="9"/>
  <c r="U439" i="9"/>
  <c r="N449" i="9"/>
  <c r="Y449" i="9"/>
  <c r="H444" i="9"/>
  <c r="S444" i="9"/>
  <c r="M449" i="9"/>
  <c r="X449" i="9"/>
  <c r="O439" i="9"/>
  <c r="Z439" i="9"/>
  <c r="G439" i="9"/>
  <c r="R439" i="9"/>
  <c r="K444" i="9"/>
  <c r="V444" i="9"/>
  <c r="F450" i="9"/>
  <c r="Q450" i="9"/>
  <c r="L441" i="9"/>
  <c r="W441" i="9"/>
  <c r="M443" i="9"/>
  <c r="X443" i="9"/>
  <c r="F441" i="9"/>
  <c r="Q441" i="9"/>
  <c r="J435" i="9"/>
  <c r="U435" i="9"/>
  <c r="L440" i="9"/>
  <c r="W440" i="9"/>
  <c r="G448" i="9"/>
  <c r="R448" i="9"/>
  <c r="I438" i="9"/>
  <c r="T438" i="9"/>
  <c r="O435" i="9"/>
  <c r="Z435" i="9"/>
  <c r="O442" i="9"/>
  <c r="Z442" i="9"/>
  <c r="N446" i="9"/>
  <c r="Y446" i="9"/>
  <c r="H435" i="9"/>
  <c r="S435" i="9"/>
  <c r="I437" i="9"/>
  <c r="T437" i="9"/>
  <c r="J449" i="9"/>
  <c r="U449" i="9"/>
  <c r="F447" i="9"/>
  <c r="Q447" i="9"/>
  <c r="H449" i="9"/>
  <c r="S449" i="9"/>
  <c r="G440" i="9"/>
  <c r="R440" i="9"/>
  <c r="N438" i="9"/>
  <c r="Y438" i="9"/>
  <c r="F444" i="9"/>
  <c r="Q444" i="9"/>
  <c r="M450" i="9"/>
  <c r="X450" i="9"/>
  <c r="I447" i="9"/>
  <c r="T447" i="9"/>
  <c r="K435" i="9"/>
  <c r="V435" i="9"/>
  <c r="K448" i="9"/>
  <c r="V448" i="9"/>
  <c r="F435" i="9"/>
  <c r="Q435" i="9"/>
  <c r="N435" i="9"/>
  <c r="Y435" i="9"/>
  <c r="L447" i="9"/>
  <c r="W447" i="9"/>
  <c r="K438" i="9"/>
  <c r="V438" i="9"/>
  <c r="L435" i="9"/>
  <c r="W435" i="9"/>
  <c r="J442" i="9"/>
  <c r="U442" i="9"/>
  <c r="G449" i="9"/>
  <c r="R449" i="9"/>
  <c r="G444" i="9"/>
  <c r="R444" i="9"/>
  <c r="G442" i="9"/>
  <c r="R442" i="9"/>
  <c r="M435" i="9"/>
  <c r="X435" i="9"/>
  <c r="H446" i="9"/>
  <c r="S446" i="9"/>
  <c r="J445" i="9"/>
  <c r="U445" i="9"/>
  <c r="L450" i="9"/>
  <c r="W450" i="9"/>
  <c r="I443" i="9"/>
  <c r="T443" i="9"/>
  <c r="H445" i="9"/>
  <c r="S445" i="9"/>
  <c r="H447" i="9"/>
  <c r="S447" i="9"/>
  <c r="H437" i="9"/>
  <c r="S437" i="9"/>
  <c r="I448" i="9"/>
  <c r="T448" i="9"/>
  <c r="N447" i="9"/>
  <c r="Y447" i="9"/>
  <c r="N450" i="9"/>
  <c r="Y450" i="9"/>
  <c r="F442" i="9"/>
  <c r="Q442" i="9"/>
  <c r="K450" i="9"/>
  <c r="V450" i="9"/>
  <c r="J438" i="9"/>
  <c r="U438" i="9"/>
  <c r="N445" i="9"/>
  <c r="Y445" i="9"/>
  <c r="K449" i="9"/>
  <c r="V449" i="9"/>
  <c r="L437" i="9"/>
  <c r="W437" i="9"/>
  <c r="I450" i="9"/>
  <c r="T450" i="9"/>
  <c r="O446" i="9"/>
  <c r="Z446" i="9"/>
  <c r="F449" i="9"/>
  <c r="Q449" i="9"/>
  <c r="O447" i="9"/>
  <c r="Z447" i="9"/>
  <c r="F436" i="9"/>
  <c r="Q436" i="9"/>
  <c r="K440" i="9"/>
  <c r="V440" i="9"/>
  <c r="L436" i="9"/>
  <c r="W436" i="9"/>
  <c r="F439" i="9"/>
  <c r="Q439" i="9"/>
  <c r="F446" i="9"/>
  <c r="Q446" i="9"/>
  <c r="O436" i="9"/>
  <c r="Z436" i="9"/>
  <c r="O448" i="9"/>
  <c r="Z448" i="9"/>
  <c r="N440" i="9"/>
  <c r="Y440" i="9"/>
  <c r="K447" i="9"/>
  <c r="V447" i="9"/>
  <c r="G445" i="9"/>
  <c r="R445" i="9"/>
  <c r="M438" i="9"/>
  <c r="X438" i="9"/>
  <c r="L442" i="9"/>
  <c r="W442" i="9"/>
  <c r="I435" i="9"/>
  <c r="T435" i="9"/>
  <c r="H439" i="9"/>
  <c r="S439" i="9"/>
  <c r="M437" i="9"/>
  <c r="X437" i="9"/>
  <c r="L446" i="9"/>
  <c r="W446" i="9"/>
  <c r="J436" i="9"/>
  <c r="U436" i="9"/>
  <c r="K445" i="9"/>
  <c r="V445" i="9"/>
  <c r="K437" i="9"/>
  <c r="V437" i="9"/>
  <c r="N437" i="9"/>
  <c r="Y437" i="9"/>
  <c r="H450" i="9"/>
  <c r="S450" i="9"/>
  <c r="K441" i="9"/>
  <c r="V441" i="9"/>
  <c r="G446" i="9"/>
  <c r="R446" i="9"/>
  <c r="F448" i="9"/>
  <c r="Q448" i="9"/>
  <c r="O449" i="9"/>
  <c r="Z449" i="9"/>
  <c r="J443" i="9"/>
  <c r="U443" i="9"/>
  <c r="F437" i="9"/>
  <c r="Q437" i="9"/>
  <c r="L439" i="9"/>
  <c r="W439" i="9"/>
  <c r="I446" i="9"/>
  <c r="T446" i="9"/>
  <c r="G436" i="9"/>
  <c r="R436" i="9"/>
  <c r="O450" i="9"/>
  <c r="Z450" i="9"/>
  <c r="G441" i="9"/>
  <c r="R441" i="9"/>
  <c r="O443" i="9"/>
  <c r="Z443" i="9"/>
  <c r="K443" i="9"/>
  <c r="V443" i="9"/>
  <c r="G435" i="9"/>
  <c r="R435" i="9"/>
  <c r="F445" i="9"/>
  <c r="Q445" i="9"/>
  <c r="H440" i="9"/>
  <c r="S440" i="9"/>
  <c r="F438" i="9"/>
  <c r="Q438" i="9"/>
  <c r="M444" i="9"/>
  <c r="X444" i="9"/>
  <c r="M448" i="9"/>
  <c r="X448" i="9"/>
  <c r="I449" i="9"/>
  <c r="T449" i="9"/>
  <c r="K439" i="9"/>
  <c r="V439" i="9"/>
  <c r="M440" i="9"/>
  <c r="X440" i="9"/>
  <c r="J446" i="9"/>
  <c r="U446" i="9"/>
  <c r="F443" i="9"/>
  <c r="Q443" i="9"/>
  <c r="L438" i="9"/>
  <c r="W438" i="9"/>
  <c r="J447" i="9"/>
  <c r="U447" i="9"/>
  <c r="K446" i="9"/>
  <c r="V446" i="9"/>
  <c r="M436" i="9"/>
  <c r="X436" i="9"/>
  <c r="J450" i="9"/>
  <c r="U450" i="9"/>
  <c r="I441" i="9"/>
  <c r="T441" i="9"/>
  <c r="L443" i="9"/>
  <c r="W443" i="9"/>
  <c r="I445" i="9"/>
  <c r="T445" i="9"/>
  <c r="M446" i="9"/>
  <c r="X446" i="9"/>
  <c r="L444" i="9"/>
  <c r="W444" i="9"/>
  <c r="N441" i="9"/>
  <c r="Y441" i="9"/>
  <c r="J437" i="9"/>
  <c r="U437" i="9"/>
  <c r="O444" i="9"/>
  <c r="Z444" i="9"/>
  <c r="J448" i="9"/>
  <c r="U448" i="9"/>
  <c r="N448" i="9"/>
  <c r="Y448" i="9"/>
  <c r="M439" i="9"/>
  <c r="X439" i="9"/>
  <c r="J440" i="9"/>
  <c r="U440" i="9"/>
  <c r="O438" i="9"/>
  <c r="Z438" i="9"/>
  <c r="I440" i="9"/>
  <c r="T440" i="9"/>
  <c r="G437" i="9"/>
  <c r="R437" i="9"/>
  <c r="G438" i="9"/>
  <c r="R438" i="9"/>
  <c r="N444" i="9"/>
  <c r="Y444" i="9"/>
  <c r="L448" i="9"/>
  <c r="W448" i="9"/>
  <c r="M441" i="9"/>
  <c r="X441" i="9"/>
  <c r="L445" i="9"/>
  <c r="W445" i="9"/>
  <c r="K436" i="9"/>
  <c r="V436" i="9"/>
  <c r="O441" i="9"/>
  <c r="Z441" i="9"/>
  <c r="N439" i="9"/>
  <c r="Y439" i="9"/>
  <c r="N442" i="9"/>
  <c r="Y442" i="9"/>
  <c r="K442" i="9"/>
  <c r="V442" i="9"/>
  <c r="I444" i="9"/>
  <c r="T444" i="9"/>
  <c r="N436" i="9"/>
  <c r="Y436" i="9"/>
  <c r="J441" i="9"/>
  <c r="U441" i="9"/>
  <c r="H441" i="9"/>
  <c r="S441" i="9"/>
  <c r="I439" i="9"/>
  <c r="T439" i="9"/>
  <c r="M442" i="9"/>
  <c r="X442" i="9"/>
  <c r="G447" i="9"/>
  <c r="R447" i="9"/>
  <c r="H443" i="9"/>
  <c r="S443" i="9"/>
  <c r="O440" i="9"/>
  <c r="Z440" i="9"/>
  <c r="H438" i="9"/>
  <c r="S438" i="9"/>
  <c r="J444" i="9"/>
  <c r="U444" i="9"/>
  <c r="M445" i="9"/>
  <c r="X445" i="9"/>
  <c r="O445" i="9"/>
  <c r="Z445" i="9"/>
  <c r="L449" i="9"/>
  <c r="W449" i="9"/>
  <c r="H436" i="9"/>
  <c r="S436" i="9"/>
  <c r="N443" i="9"/>
  <c r="Y443" i="9"/>
  <c r="G443" i="9"/>
  <c r="R443" i="9"/>
  <c r="M447" i="9"/>
  <c r="X447" i="9"/>
  <c r="O437" i="9"/>
  <c r="Z437" i="9"/>
  <c r="F440" i="9"/>
  <c r="Q440" i="9"/>
  <c r="H448" i="9"/>
  <c r="S448" i="9"/>
  <c r="H442" i="9"/>
  <c r="S442" i="9"/>
  <c r="I442" i="9"/>
  <c r="T442" i="9"/>
  <c r="I436" i="9"/>
  <c r="T436" i="9"/>
  <c r="G450" i="9"/>
  <c r="R450" i="9"/>
  <c r="P1081" i="9"/>
  <c r="P1088" i="9"/>
  <c r="P1085" i="9"/>
  <c r="P1090" i="9"/>
  <c r="P1075" i="9"/>
  <c r="P43" i="9"/>
  <c r="P28" i="9"/>
  <c r="P24" i="9"/>
  <c r="F920" i="9"/>
  <c r="Q920" i="9"/>
  <c r="K928" i="9"/>
  <c r="V928" i="9"/>
  <c r="H921" i="9"/>
  <c r="S921" i="9"/>
  <c r="M929" i="9"/>
  <c r="X929" i="9"/>
  <c r="K929" i="9"/>
  <c r="V929" i="9"/>
  <c r="O930" i="9"/>
  <c r="Z930" i="9"/>
  <c r="K915" i="9"/>
  <c r="V915" i="9"/>
  <c r="F929" i="9"/>
  <c r="Q929" i="9"/>
  <c r="F919" i="9"/>
  <c r="Q919" i="9"/>
  <c r="F917" i="9"/>
  <c r="Q917" i="9"/>
  <c r="H923" i="9"/>
  <c r="S923" i="9"/>
  <c r="J924" i="9"/>
  <c r="U924" i="9"/>
  <c r="I920" i="9"/>
  <c r="T920" i="9"/>
  <c r="J920" i="9"/>
  <c r="U920" i="9"/>
  <c r="N927" i="9"/>
  <c r="Y927" i="9"/>
  <c r="K919" i="9"/>
  <c r="V919" i="9"/>
  <c r="F928" i="9"/>
  <c r="Q928" i="9"/>
  <c r="M920" i="9"/>
  <c r="X920" i="9"/>
  <c r="H929" i="9"/>
  <c r="S929" i="9"/>
  <c r="J928" i="9"/>
  <c r="U928" i="9"/>
  <c r="O929" i="9"/>
  <c r="Z929" i="9"/>
  <c r="J918" i="9"/>
  <c r="U918" i="9"/>
  <c r="O926" i="9"/>
  <c r="Z926" i="9"/>
  <c r="L919" i="9"/>
  <c r="W919" i="9"/>
  <c r="G928" i="9"/>
  <c r="R928" i="9"/>
  <c r="I926" i="9"/>
  <c r="T926" i="9"/>
  <c r="M927" i="9"/>
  <c r="X927" i="9"/>
  <c r="M925" i="9"/>
  <c r="X925" i="9"/>
  <c r="G926" i="9"/>
  <c r="R926" i="9"/>
  <c r="N923" i="9"/>
  <c r="Y923" i="9"/>
  <c r="H918" i="9"/>
  <c r="S918" i="9"/>
  <c r="G921" i="9"/>
  <c r="R921" i="9"/>
  <c r="I922" i="9"/>
  <c r="T922" i="9"/>
  <c r="F916" i="9"/>
  <c r="Q916" i="9"/>
  <c r="F924" i="9"/>
  <c r="Q924" i="9"/>
  <c r="H922" i="9"/>
  <c r="S922" i="9"/>
  <c r="H924" i="9"/>
  <c r="S924" i="9"/>
  <c r="L924" i="9"/>
  <c r="W924" i="9"/>
  <c r="N917" i="9"/>
  <c r="Y917" i="9"/>
  <c r="F930" i="9"/>
  <c r="Q930" i="9"/>
  <c r="O917" i="9"/>
  <c r="Z917" i="9"/>
  <c r="J926" i="9"/>
  <c r="U926" i="9"/>
  <c r="G919" i="9"/>
  <c r="R919" i="9"/>
  <c r="L927" i="9"/>
  <c r="W927" i="9"/>
  <c r="H925" i="9"/>
  <c r="S925" i="9"/>
  <c r="M926" i="9"/>
  <c r="X926" i="9"/>
  <c r="L923" i="9"/>
  <c r="W923" i="9"/>
  <c r="O928" i="9"/>
  <c r="Z928" i="9"/>
  <c r="J925" i="9"/>
  <c r="U925" i="9"/>
  <c r="J921" i="9"/>
  <c r="U921" i="9"/>
  <c r="O918" i="9"/>
  <c r="Z918" i="9"/>
  <c r="G920" i="9"/>
  <c r="R920" i="9"/>
  <c r="I927" i="9"/>
  <c r="T927" i="9"/>
  <c r="O927" i="9"/>
  <c r="Z927" i="9"/>
  <c r="N915" i="9"/>
  <c r="Y915" i="9"/>
  <c r="I917" i="9"/>
  <c r="T917" i="9"/>
  <c r="O925" i="9"/>
  <c r="Z925" i="9"/>
  <c r="K918" i="9"/>
  <c r="V918" i="9"/>
  <c r="G927" i="9"/>
  <c r="R927" i="9"/>
  <c r="G924" i="9"/>
  <c r="R924" i="9"/>
  <c r="L925" i="9"/>
  <c r="W925" i="9"/>
  <c r="I916" i="9"/>
  <c r="T916" i="9"/>
  <c r="N924" i="9"/>
  <c r="Y924" i="9"/>
  <c r="K917" i="9"/>
  <c r="V917" i="9"/>
  <c r="F926" i="9"/>
  <c r="Q926" i="9"/>
  <c r="F922" i="9"/>
  <c r="Q922" i="9"/>
  <c r="K923" i="9"/>
  <c r="V923" i="9"/>
  <c r="H917" i="9"/>
  <c r="S917" i="9"/>
  <c r="G916" i="9"/>
  <c r="R916" i="9"/>
  <c r="H930" i="9"/>
  <c r="S930" i="9"/>
  <c r="H920" i="9"/>
  <c r="S920" i="9"/>
  <c r="N916" i="9"/>
  <c r="Y916" i="9"/>
  <c r="F918" i="9"/>
  <c r="Q918" i="9"/>
  <c r="G923" i="9"/>
  <c r="R923" i="9"/>
  <c r="I919" i="9"/>
  <c r="T919" i="9"/>
  <c r="J919" i="9"/>
  <c r="U919" i="9"/>
  <c r="I928" i="9"/>
  <c r="T928" i="9"/>
  <c r="M924" i="9"/>
  <c r="X924" i="9"/>
  <c r="I918" i="9"/>
  <c r="T918" i="9"/>
  <c r="F927" i="9"/>
  <c r="Q927" i="9"/>
  <c r="M930" i="9"/>
  <c r="X930" i="9"/>
  <c r="M916" i="9"/>
  <c r="X916" i="9"/>
  <c r="O922" i="9"/>
  <c r="Z922" i="9"/>
  <c r="L922" i="9"/>
  <c r="W922" i="9"/>
  <c r="F923" i="9"/>
  <c r="Q923" i="9"/>
  <c r="M928" i="9"/>
  <c r="X928" i="9"/>
  <c r="N925" i="9"/>
  <c r="Y925" i="9"/>
  <c r="L921" i="9"/>
  <c r="W921" i="9"/>
  <c r="N922" i="9"/>
  <c r="Y922" i="9"/>
  <c r="G917" i="9"/>
  <c r="R917" i="9"/>
  <c r="K920" i="9"/>
  <c r="V920" i="9"/>
  <c r="M921" i="9"/>
  <c r="X921" i="9"/>
  <c r="K930" i="9"/>
  <c r="V930" i="9"/>
  <c r="M919" i="9"/>
  <c r="X919" i="9"/>
  <c r="J917" i="9"/>
  <c r="U917" i="9"/>
  <c r="I925" i="9"/>
  <c r="T925" i="9"/>
  <c r="K924" i="9"/>
  <c r="V924" i="9"/>
  <c r="L918" i="9"/>
  <c r="W918" i="9"/>
  <c r="L930" i="9"/>
  <c r="W930" i="9"/>
  <c r="L920" i="9"/>
  <c r="W920" i="9"/>
  <c r="M915" i="9"/>
  <c r="X915" i="9"/>
  <c r="O916" i="9"/>
  <c r="Z916" i="9"/>
  <c r="O920" i="9"/>
  <c r="Z920" i="9"/>
  <c r="G915" i="9"/>
  <c r="R915" i="9"/>
  <c r="H916" i="9"/>
  <c r="S916" i="9"/>
  <c r="F915" i="9"/>
  <c r="Q915" i="9"/>
  <c r="N918" i="9"/>
  <c r="Y918" i="9"/>
  <c r="L928" i="9"/>
  <c r="W928" i="9"/>
  <c r="M923" i="9"/>
  <c r="X923" i="9"/>
  <c r="O924" i="9"/>
  <c r="Z924" i="9"/>
  <c r="I921" i="9"/>
  <c r="T921" i="9"/>
  <c r="M922" i="9"/>
  <c r="X922" i="9"/>
  <c r="O923" i="9"/>
  <c r="Z923" i="9"/>
  <c r="H919" i="9"/>
  <c r="S919" i="9"/>
  <c r="O921" i="9"/>
  <c r="Z921" i="9"/>
  <c r="N921" i="9"/>
  <c r="Y921" i="9"/>
  <c r="L929" i="9"/>
  <c r="W929" i="9"/>
  <c r="M918" i="9"/>
  <c r="X918" i="9"/>
  <c r="N929" i="9"/>
  <c r="Y929" i="9"/>
  <c r="J923" i="9"/>
  <c r="U923" i="9"/>
  <c r="G922" i="9"/>
  <c r="R922" i="9"/>
  <c r="I923" i="9"/>
  <c r="T923" i="9"/>
  <c r="G918" i="9"/>
  <c r="R918" i="9"/>
  <c r="L917" i="9"/>
  <c r="W917" i="9"/>
  <c r="F925" i="9"/>
  <c r="Q925" i="9"/>
  <c r="K927" i="9"/>
  <c r="V927" i="9"/>
  <c r="N928" i="9"/>
  <c r="Y928" i="9"/>
  <c r="L916" i="9"/>
  <c r="W916" i="9"/>
  <c r="G930" i="9"/>
  <c r="R930" i="9"/>
  <c r="L915" i="9"/>
  <c r="W915" i="9"/>
  <c r="N920" i="9"/>
  <c r="Y920" i="9"/>
  <c r="G929" i="9"/>
  <c r="R929" i="9"/>
  <c r="I930" i="9"/>
  <c r="T930" i="9"/>
  <c r="K916" i="9"/>
  <c r="V916" i="9"/>
  <c r="J927" i="9"/>
  <c r="U927" i="9"/>
  <c r="J929" i="9"/>
  <c r="U929" i="9"/>
  <c r="K926" i="9"/>
  <c r="V926" i="9"/>
  <c r="J930" i="9"/>
  <c r="U930" i="9"/>
  <c r="H928" i="9"/>
  <c r="S928" i="9"/>
  <c r="J915" i="9"/>
  <c r="U915" i="9"/>
  <c r="N926" i="9"/>
  <c r="Y926" i="9"/>
  <c r="H915" i="9"/>
  <c r="S915" i="9"/>
  <c r="I915" i="9"/>
  <c r="T915" i="9"/>
  <c r="N919" i="9"/>
  <c r="Y919" i="9"/>
  <c r="K921" i="9"/>
  <c r="V921" i="9"/>
  <c r="I924" i="9"/>
  <c r="T924" i="9"/>
  <c r="L926" i="9"/>
  <c r="W926" i="9"/>
  <c r="J916" i="9"/>
  <c r="U916" i="9"/>
  <c r="M917" i="9"/>
  <c r="X917" i="9"/>
  <c r="N930" i="9"/>
  <c r="Y930" i="9"/>
  <c r="K925" i="9"/>
  <c r="V925" i="9"/>
  <c r="O915" i="9"/>
  <c r="Z915" i="9"/>
  <c r="O919" i="9"/>
  <c r="Z919" i="9"/>
  <c r="G925" i="9"/>
  <c r="R925" i="9"/>
  <c r="K922" i="9"/>
  <c r="V922" i="9"/>
  <c r="J922" i="9"/>
  <c r="U922" i="9"/>
  <c r="H927" i="9"/>
  <c r="S927" i="9"/>
  <c r="I929" i="9"/>
  <c r="T929" i="9"/>
  <c r="F921" i="9"/>
  <c r="Q921" i="9"/>
  <c r="H926" i="9"/>
  <c r="S926" i="9"/>
  <c r="F467" i="9"/>
  <c r="Q467" i="9"/>
  <c r="J473" i="9"/>
  <c r="U473" i="9"/>
  <c r="N481" i="9"/>
  <c r="Y481" i="9"/>
  <c r="H472" i="9"/>
  <c r="S472" i="9"/>
  <c r="L480" i="9"/>
  <c r="W480" i="9"/>
  <c r="N475" i="9"/>
  <c r="Y475" i="9"/>
  <c r="N469" i="9"/>
  <c r="Y469" i="9"/>
  <c r="N467" i="9"/>
  <c r="Y467" i="9"/>
  <c r="H468" i="9"/>
  <c r="S468" i="9"/>
  <c r="N480" i="9"/>
  <c r="Y480" i="9"/>
  <c r="J474" i="9"/>
  <c r="U474" i="9"/>
  <c r="F468" i="9"/>
  <c r="Q468" i="9"/>
  <c r="M479" i="9"/>
  <c r="X479" i="9"/>
  <c r="I473" i="9"/>
  <c r="T473" i="9"/>
  <c r="M482" i="9"/>
  <c r="X482" i="9"/>
  <c r="I476" i="9"/>
  <c r="T476" i="9"/>
  <c r="O469" i="9"/>
  <c r="Z469" i="9"/>
  <c r="J470" i="9"/>
  <c r="U470" i="9"/>
  <c r="G474" i="9"/>
  <c r="R474" i="9"/>
  <c r="G477" i="9"/>
  <c r="R477" i="9"/>
  <c r="F482" i="9"/>
  <c r="Q482" i="9"/>
  <c r="L475" i="9"/>
  <c r="W475" i="9"/>
  <c r="H469" i="9"/>
  <c r="S469" i="9"/>
  <c r="O480" i="9"/>
  <c r="Z480" i="9"/>
  <c r="K474" i="9"/>
  <c r="V474" i="9"/>
  <c r="G468" i="9"/>
  <c r="R468" i="9"/>
  <c r="K477" i="9"/>
  <c r="V477" i="9"/>
  <c r="G471" i="9"/>
  <c r="R471" i="9"/>
  <c r="F480" i="9"/>
  <c r="Q480" i="9"/>
  <c r="N468" i="9"/>
  <c r="Y468" i="9"/>
  <c r="M475" i="9"/>
  <c r="X475" i="9"/>
  <c r="M478" i="9"/>
  <c r="X478" i="9"/>
  <c r="N482" i="9"/>
  <c r="Y482" i="9"/>
  <c r="I475" i="9"/>
  <c r="T475" i="9"/>
  <c r="L479" i="9"/>
  <c r="W479" i="9"/>
  <c r="K481" i="9"/>
  <c r="V481" i="9"/>
  <c r="N474" i="9"/>
  <c r="Y474" i="9"/>
  <c r="I467" i="9"/>
  <c r="T467" i="9"/>
  <c r="G475" i="9"/>
  <c r="R475" i="9"/>
  <c r="O476" i="9"/>
  <c r="Z476" i="9"/>
  <c r="G467" i="9"/>
  <c r="R467" i="9"/>
  <c r="F469" i="9"/>
  <c r="Q469" i="9"/>
  <c r="F481" i="9"/>
  <c r="Q481" i="9"/>
  <c r="J471" i="9"/>
  <c r="U471" i="9"/>
  <c r="H471" i="9"/>
  <c r="S471" i="9"/>
  <c r="M471" i="9"/>
  <c r="X471" i="9"/>
  <c r="K471" i="9"/>
  <c r="V471" i="9"/>
  <c r="M467" i="9"/>
  <c r="X467" i="9"/>
  <c r="F474" i="9"/>
  <c r="Q474" i="9"/>
  <c r="G476" i="9"/>
  <c r="R476" i="9"/>
  <c r="I474" i="9"/>
  <c r="T474" i="9"/>
  <c r="N477" i="9"/>
  <c r="Y477" i="9"/>
  <c r="G469" i="9"/>
  <c r="R469" i="9"/>
  <c r="F479" i="9"/>
  <c r="Q479" i="9"/>
  <c r="M476" i="9"/>
  <c r="X476" i="9"/>
  <c r="H470" i="9"/>
  <c r="S470" i="9"/>
  <c r="H480" i="9"/>
  <c r="S480" i="9"/>
  <c r="N473" i="9"/>
  <c r="Y473" i="9"/>
  <c r="J469" i="9"/>
  <c r="U469" i="9"/>
  <c r="J479" i="9"/>
  <c r="U479" i="9"/>
  <c r="H474" i="9"/>
  <c r="S474" i="9"/>
  <c r="N479" i="9"/>
  <c r="Y479" i="9"/>
  <c r="F476" i="9"/>
  <c r="Q476" i="9"/>
  <c r="L478" i="9"/>
  <c r="W478" i="9"/>
  <c r="K476" i="9"/>
  <c r="V476" i="9"/>
  <c r="K468" i="9"/>
  <c r="V468" i="9"/>
  <c r="M474" i="9"/>
  <c r="X474" i="9"/>
  <c r="J478" i="9"/>
  <c r="U478" i="9"/>
  <c r="I477" i="9"/>
  <c r="T477" i="9"/>
  <c r="O473" i="9"/>
  <c r="Z473" i="9"/>
  <c r="N478" i="9"/>
  <c r="Y478" i="9"/>
  <c r="N470" i="9"/>
  <c r="Y470" i="9"/>
  <c r="I479" i="9"/>
  <c r="T479" i="9"/>
  <c r="I471" i="9"/>
  <c r="T471" i="9"/>
  <c r="G479" i="9"/>
  <c r="R479" i="9"/>
  <c r="K469" i="9"/>
  <c r="V469" i="9"/>
  <c r="H475" i="9"/>
  <c r="S475" i="9"/>
  <c r="O478" i="9"/>
  <c r="Z478" i="9"/>
  <c r="K475" i="9"/>
  <c r="V475" i="9"/>
  <c r="F470" i="9"/>
  <c r="Q470" i="9"/>
  <c r="O471" i="9"/>
  <c r="Z471" i="9"/>
  <c r="M468" i="9"/>
  <c r="X468" i="9"/>
  <c r="G480" i="9"/>
  <c r="R480" i="9"/>
  <c r="G472" i="9"/>
  <c r="R472" i="9"/>
  <c r="K470" i="9"/>
  <c r="V470" i="9"/>
  <c r="N471" i="9"/>
  <c r="Y471" i="9"/>
  <c r="J467" i="9"/>
  <c r="U467" i="9"/>
  <c r="J475" i="9"/>
  <c r="U475" i="9"/>
  <c r="L472" i="9"/>
  <c r="W472" i="9"/>
  <c r="F473" i="9"/>
  <c r="Q473" i="9"/>
  <c r="L482" i="9"/>
  <c r="W482" i="9"/>
  <c r="J482" i="9"/>
  <c r="U482" i="9"/>
  <c r="N472" i="9"/>
  <c r="Y472" i="9"/>
  <c r="O482" i="9"/>
  <c r="Z482" i="9"/>
  <c r="O474" i="9"/>
  <c r="Z474" i="9"/>
  <c r="G481" i="9"/>
  <c r="R481" i="9"/>
  <c r="G473" i="9"/>
  <c r="R473" i="9"/>
  <c r="L473" i="9"/>
  <c r="W473" i="9"/>
  <c r="O470" i="9"/>
  <c r="Z470" i="9"/>
  <c r="M470" i="9"/>
  <c r="X470" i="9"/>
  <c r="H477" i="9"/>
  <c r="S477" i="9"/>
  <c r="L467" i="9"/>
  <c r="W467" i="9"/>
  <c r="M477" i="9"/>
  <c r="X477" i="9"/>
  <c r="M469" i="9"/>
  <c r="X469" i="9"/>
  <c r="O475" i="9"/>
  <c r="Z475" i="9"/>
  <c r="O467" i="9"/>
  <c r="Z467" i="9"/>
  <c r="F472" i="9"/>
  <c r="Q472" i="9"/>
  <c r="K472" i="9"/>
  <c r="V472" i="9"/>
  <c r="I472" i="9"/>
  <c r="T472" i="9"/>
  <c r="M481" i="9"/>
  <c r="X481" i="9"/>
  <c r="H473" i="9"/>
  <c r="S473" i="9"/>
  <c r="K473" i="9"/>
  <c r="V473" i="9"/>
  <c r="M473" i="9"/>
  <c r="X473" i="9"/>
  <c r="F478" i="9"/>
  <c r="Q478" i="9"/>
  <c r="O479" i="9"/>
  <c r="Z479" i="9"/>
  <c r="F475" i="9"/>
  <c r="Q475" i="9"/>
  <c r="F477" i="9"/>
  <c r="Q477" i="9"/>
  <c r="H476" i="9"/>
  <c r="S476" i="9"/>
  <c r="H479" i="9"/>
  <c r="S479" i="9"/>
  <c r="I481" i="9"/>
  <c r="T481" i="9"/>
  <c r="K479" i="9"/>
  <c r="V479" i="9"/>
  <c r="H467" i="9"/>
  <c r="S467" i="9"/>
  <c r="K467" i="9"/>
  <c r="V467" i="9"/>
  <c r="H478" i="9"/>
  <c r="S478" i="9"/>
  <c r="I482" i="9"/>
  <c r="T482" i="9"/>
  <c r="L481" i="9"/>
  <c r="W481" i="9"/>
  <c r="I469" i="9"/>
  <c r="T469" i="9"/>
  <c r="O468" i="9"/>
  <c r="Z468" i="9"/>
  <c r="H481" i="9"/>
  <c r="S481" i="9"/>
  <c r="L471" i="9"/>
  <c r="W471" i="9"/>
  <c r="L476" i="9"/>
  <c r="W476" i="9"/>
  <c r="J481" i="9"/>
  <c r="U481" i="9"/>
  <c r="G478" i="9"/>
  <c r="R478" i="9"/>
  <c r="G482" i="9"/>
  <c r="R482" i="9"/>
  <c r="K482" i="9"/>
  <c r="V482" i="9"/>
  <c r="N476" i="9"/>
  <c r="Y476" i="9"/>
  <c r="I478" i="9"/>
  <c r="T478" i="9"/>
  <c r="J477" i="9"/>
  <c r="U477" i="9"/>
  <c r="H482" i="9"/>
  <c r="S482" i="9"/>
  <c r="O477" i="9"/>
  <c r="Z477" i="9"/>
  <c r="M480" i="9"/>
  <c r="X480" i="9"/>
  <c r="J468" i="9"/>
  <c r="U468" i="9"/>
  <c r="L468" i="9"/>
  <c r="W468" i="9"/>
  <c r="F471" i="9"/>
  <c r="Q471" i="9"/>
  <c r="L469" i="9"/>
  <c r="W469" i="9"/>
  <c r="I468" i="9"/>
  <c r="T468" i="9"/>
  <c r="J472" i="9"/>
  <c r="U472" i="9"/>
  <c r="M472" i="9"/>
  <c r="X472" i="9"/>
  <c r="J476" i="9"/>
  <c r="U476" i="9"/>
  <c r="I470" i="9"/>
  <c r="T470" i="9"/>
  <c r="L470" i="9"/>
  <c r="W470" i="9"/>
  <c r="L474" i="9"/>
  <c r="W474" i="9"/>
  <c r="G470" i="9"/>
  <c r="R470" i="9"/>
  <c r="I480" i="9"/>
  <c r="T480" i="9"/>
  <c r="O472" i="9"/>
  <c r="Z472" i="9"/>
  <c r="K480" i="9"/>
  <c r="V480" i="9"/>
  <c r="K478" i="9"/>
  <c r="V478" i="9"/>
  <c r="L477" i="9"/>
  <c r="W477" i="9"/>
  <c r="J480" i="9"/>
  <c r="U480" i="9"/>
  <c r="O481" i="9"/>
  <c r="Z481" i="9"/>
  <c r="F165" i="9"/>
  <c r="Q165" i="9"/>
  <c r="J173" i="9"/>
  <c r="U173" i="9"/>
  <c r="O170" i="9"/>
  <c r="Z170" i="9"/>
  <c r="G177" i="9"/>
  <c r="R177" i="9"/>
  <c r="O168" i="9"/>
  <c r="Z168" i="9"/>
  <c r="G175" i="9"/>
  <c r="R175" i="9"/>
  <c r="L169" i="9"/>
  <c r="W169" i="9"/>
  <c r="N166" i="9"/>
  <c r="Y166" i="9"/>
  <c r="K171" i="9"/>
  <c r="V171" i="9"/>
  <c r="J176" i="9"/>
  <c r="U176" i="9"/>
  <c r="N175" i="9"/>
  <c r="Y175" i="9"/>
  <c r="J175" i="9"/>
  <c r="U175" i="9"/>
  <c r="M175" i="9"/>
  <c r="X175" i="9"/>
  <c r="F166" i="9"/>
  <c r="Q166" i="9"/>
  <c r="M173" i="9"/>
  <c r="X173" i="9"/>
  <c r="F164" i="9"/>
  <c r="Q164" i="9"/>
  <c r="I163" i="9"/>
  <c r="T163" i="9"/>
  <c r="G170" i="9"/>
  <c r="R170" i="9"/>
  <c r="H165" i="9"/>
  <c r="S165" i="9"/>
  <c r="J163" i="9"/>
  <c r="U163" i="9"/>
  <c r="J177" i="9"/>
  <c r="U177" i="9"/>
  <c r="F167" i="9"/>
  <c r="Q167" i="9"/>
  <c r="G174" i="9"/>
  <c r="R174" i="9"/>
  <c r="J164" i="9"/>
  <c r="U164" i="9"/>
  <c r="G172" i="9"/>
  <c r="R172" i="9"/>
  <c r="I178" i="9"/>
  <c r="T178" i="9"/>
  <c r="F176" i="9"/>
  <c r="Q176" i="9"/>
  <c r="M163" i="9"/>
  <c r="X163" i="9"/>
  <c r="O177" i="9"/>
  <c r="Z177" i="9"/>
  <c r="I173" i="9"/>
  <c r="T173" i="9"/>
  <c r="L174" i="9"/>
  <c r="W174" i="9"/>
  <c r="H170" i="9"/>
  <c r="S170" i="9"/>
  <c r="K172" i="9"/>
  <c r="V172" i="9"/>
  <c r="M178" i="9"/>
  <c r="X178" i="9"/>
  <c r="K170" i="9"/>
  <c r="V170" i="9"/>
  <c r="M176" i="9"/>
  <c r="X176" i="9"/>
  <c r="N172" i="9"/>
  <c r="Y172" i="9"/>
  <c r="H173" i="9"/>
  <c r="S173" i="9"/>
  <c r="M174" i="9"/>
  <c r="X174" i="9"/>
  <c r="O166" i="9"/>
  <c r="Z166" i="9"/>
  <c r="H174" i="9"/>
  <c r="S174" i="9"/>
  <c r="F169" i="9"/>
  <c r="Q169" i="9"/>
  <c r="I177" i="9"/>
  <c r="T177" i="9"/>
  <c r="L167" i="9"/>
  <c r="W167" i="9"/>
  <c r="I175" i="9"/>
  <c r="T175" i="9"/>
  <c r="L165" i="9"/>
  <c r="W165" i="9"/>
  <c r="K166" i="9"/>
  <c r="V166" i="9"/>
  <c r="K176" i="9"/>
  <c r="V176" i="9"/>
  <c r="J168" i="9"/>
  <c r="U168" i="9"/>
  <c r="M164" i="9"/>
  <c r="X164" i="9"/>
  <c r="J169" i="9"/>
  <c r="U169" i="9"/>
  <c r="L170" i="9"/>
  <c r="W170" i="9"/>
  <c r="L178" i="9"/>
  <c r="W178" i="9"/>
  <c r="J172" i="9"/>
  <c r="U172" i="9"/>
  <c r="N163" i="9"/>
  <c r="Y163" i="9"/>
  <c r="J170" i="9"/>
  <c r="U170" i="9"/>
  <c r="G176" i="9"/>
  <c r="R176" i="9"/>
  <c r="N164" i="9"/>
  <c r="Y164" i="9"/>
  <c r="F178" i="9"/>
  <c r="Q178" i="9"/>
  <c r="F168" i="9"/>
  <c r="Q168" i="9"/>
  <c r="F171" i="9"/>
  <c r="Q171" i="9"/>
  <c r="N173" i="9"/>
  <c r="Y173" i="9"/>
  <c r="H164" i="9"/>
  <c r="S164" i="9"/>
  <c r="N170" i="9"/>
  <c r="Y170" i="9"/>
  <c r="K178" i="9"/>
  <c r="V178" i="9"/>
  <c r="N168" i="9"/>
  <c r="Y168" i="9"/>
  <c r="O172" i="9"/>
  <c r="Z172" i="9"/>
  <c r="I174" i="9"/>
  <c r="T174" i="9"/>
  <c r="N174" i="9"/>
  <c r="Y174" i="9"/>
  <c r="K177" i="9"/>
  <c r="V177" i="9"/>
  <c r="L172" i="9"/>
  <c r="W172" i="9"/>
  <c r="F177" i="9"/>
  <c r="Q177" i="9"/>
  <c r="O178" i="9"/>
  <c r="Z178" i="9"/>
  <c r="H169" i="9"/>
  <c r="S169" i="9"/>
  <c r="O176" i="9"/>
  <c r="Z176" i="9"/>
  <c r="H167" i="9"/>
  <c r="S167" i="9"/>
  <c r="M169" i="9"/>
  <c r="X169" i="9"/>
  <c r="O167" i="9"/>
  <c r="Z167" i="9"/>
  <c r="L171" i="9"/>
  <c r="W171" i="9"/>
  <c r="G171" i="9"/>
  <c r="R171" i="9"/>
  <c r="N171" i="9"/>
  <c r="Y171" i="9"/>
  <c r="M170" i="9"/>
  <c r="X170" i="9"/>
  <c r="M168" i="9"/>
  <c r="X168" i="9"/>
  <c r="G178" i="9"/>
  <c r="R178" i="9"/>
  <c r="M166" i="9"/>
  <c r="X166" i="9"/>
  <c r="L176" i="9"/>
  <c r="W176" i="9"/>
  <c r="K175" i="9"/>
  <c r="V175" i="9"/>
  <c r="K173" i="9"/>
  <c r="V173" i="9"/>
  <c r="I176" i="9"/>
  <c r="T176" i="9"/>
  <c r="F170" i="9"/>
  <c r="Q170" i="9"/>
  <c r="J165" i="9"/>
  <c r="U165" i="9"/>
  <c r="O173" i="9"/>
  <c r="Z173" i="9"/>
  <c r="O171" i="9"/>
  <c r="Z171" i="9"/>
  <c r="O169" i="9"/>
  <c r="Z169" i="9"/>
  <c r="L163" i="9"/>
  <c r="W163" i="9"/>
  <c r="L168" i="9"/>
  <c r="W168" i="9"/>
  <c r="I172" i="9"/>
  <c r="T172" i="9"/>
  <c r="I170" i="9"/>
  <c r="T170" i="9"/>
  <c r="K163" i="9"/>
  <c r="V163" i="9"/>
  <c r="G173" i="9"/>
  <c r="R173" i="9"/>
  <c r="N167" i="9"/>
  <c r="Y167" i="9"/>
  <c r="H172" i="9"/>
  <c r="S172" i="9"/>
  <c r="I164" i="9"/>
  <c r="T164" i="9"/>
  <c r="F163" i="9"/>
  <c r="Q163" i="9"/>
  <c r="I165" i="9"/>
  <c r="T165" i="9"/>
  <c r="G163" i="9"/>
  <c r="R163" i="9"/>
  <c r="F175" i="9"/>
  <c r="Q175" i="9"/>
  <c r="G169" i="9"/>
  <c r="R169" i="9"/>
  <c r="G167" i="9"/>
  <c r="R167" i="9"/>
  <c r="O174" i="9"/>
  <c r="Z174" i="9"/>
  <c r="L164" i="9"/>
  <c r="W164" i="9"/>
  <c r="H178" i="9"/>
  <c r="S178" i="9"/>
  <c r="K167" i="9"/>
  <c r="V167" i="9"/>
  <c r="K165" i="9"/>
  <c r="V165" i="9"/>
  <c r="M171" i="9"/>
  <c r="X171" i="9"/>
  <c r="H166" i="9"/>
  <c r="S166" i="9"/>
  <c r="N165" i="9"/>
  <c r="Y165" i="9"/>
  <c r="O165" i="9"/>
  <c r="Z165" i="9"/>
  <c r="O163" i="9"/>
  <c r="Z163" i="9"/>
  <c r="K168" i="9"/>
  <c r="V168" i="9"/>
  <c r="J171" i="9"/>
  <c r="U171" i="9"/>
  <c r="K164" i="9"/>
  <c r="V164" i="9"/>
  <c r="J178" i="9"/>
  <c r="U178" i="9"/>
  <c r="M172" i="9"/>
  <c r="X172" i="9"/>
  <c r="K174" i="9"/>
  <c r="V174" i="9"/>
  <c r="L166" i="9"/>
  <c r="W166" i="9"/>
  <c r="I169" i="9"/>
  <c r="T169" i="9"/>
  <c r="I167" i="9"/>
  <c r="T167" i="9"/>
  <c r="J166" i="9"/>
  <c r="U166" i="9"/>
  <c r="I168" i="9"/>
  <c r="T168" i="9"/>
  <c r="H168" i="9"/>
  <c r="S168" i="9"/>
  <c r="M167" i="9"/>
  <c r="X167" i="9"/>
  <c r="M165" i="9"/>
  <c r="X165" i="9"/>
  <c r="H163" i="9"/>
  <c r="S163" i="9"/>
  <c r="G165" i="9"/>
  <c r="R165" i="9"/>
  <c r="N169" i="9"/>
  <c r="Y169" i="9"/>
  <c r="G166" i="9"/>
  <c r="R166" i="9"/>
  <c r="G164" i="9"/>
  <c r="R164" i="9"/>
  <c r="O175" i="9"/>
  <c r="Z175" i="9"/>
  <c r="M177" i="9"/>
  <c r="X177" i="9"/>
  <c r="H171" i="9"/>
  <c r="S171" i="9"/>
  <c r="N176" i="9"/>
  <c r="Y176" i="9"/>
  <c r="H177" i="9"/>
  <c r="S177" i="9"/>
  <c r="N177" i="9"/>
  <c r="Y177" i="9"/>
  <c r="L177" i="9"/>
  <c r="W177" i="9"/>
  <c r="J167" i="9"/>
  <c r="U167" i="9"/>
  <c r="J174" i="9"/>
  <c r="U174" i="9"/>
  <c r="K169" i="9"/>
  <c r="V169" i="9"/>
  <c r="H175" i="9"/>
  <c r="S175" i="9"/>
  <c r="L175" i="9"/>
  <c r="W175" i="9"/>
  <c r="F174" i="9"/>
  <c r="Q174" i="9"/>
  <c r="F173" i="9"/>
  <c r="Q173" i="9"/>
  <c r="I171" i="9"/>
  <c r="T171" i="9"/>
  <c r="I166" i="9"/>
  <c r="T166" i="9"/>
  <c r="L173" i="9"/>
  <c r="W173" i="9"/>
  <c r="F172" i="9"/>
  <c r="Q172" i="9"/>
  <c r="N178" i="9"/>
  <c r="Y178" i="9"/>
  <c r="H176" i="9"/>
  <c r="S176" i="9"/>
  <c r="G168" i="9"/>
  <c r="R168" i="9"/>
  <c r="O164" i="9"/>
  <c r="Z164" i="9"/>
  <c r="K999" i="9"/>
  <c r="V999" i="9"/>
  <c r="F1008" i="9"/>
  <c r="Q1008" i="9"/>
  <c r="M1000" i="9"/>
  <c r="X1000" i="9"/>
  <c r="H1009" i="9"/>
  <c r="S1009" i="9"/>
  <c r="O1007" i="9"/>
  <c r="Z1007" i="9"/>
  <c r="G1002" i="9"/>
  <c r="R1002" i="9"/>
  <c r="M1010" i="9"/>
  <c r="X1010" i="9"/>
  <c r="I1003" i="9"/>
  <c r="T1003" i="9"/>
  <c r="G996" i="9"/>
  <c r="R996" i="9"/>
  <c r="L997" i="9"/>
  <c r="W997" i="9"/>
  <c r="M1002" i="9"/>
  <c r="X1002" i="9"/>
  <c r="I995" i="9"/>
  <c r="T995" i="9"/>
  <c r="O1003" i="9"/>
  <c r="Z1003" i="9"/>
  <c r="H997" i="9"/>
  <c r="S997" i="9"/>
  <c r="N996" i="9"/>
  <c r="Y996" i="9"/>
  <c r="I1005" i="9"/>
  <c r="T1005" i="9"/>
  <c r="F998" i="9"/>
  <c r="Q998" i="9"/>
  <c r="K1006" i="9"/>
  <c r="V1006" i="9"/>
  <c r="K1002" i="9"/>
  <c r="V1002" i="9"/>
  <c r="F1004" i="9"/>
  <c r="Q1004" i="9"/>
  <c r="O999" i="9"/>
  <c r="Z999" i="9"/>
  <c r="G998" i="9"/>
  <c r="R998" i="9"/>
  <c r="J1007" i="9"/>
  <c r="U1007" i="9"/>
  <c r="H1008" i="9"/>
  <c r="S1008" i="9"/>
  <c r="N1000" i="9"/>
  <c r="Y1000" i="9"/>
  <c r="O1009" i="9"/>
  <c r="Z1009" i="9"/>
  <c r="K1009" i="9"/>
  <c r="V1009" i="9"/>
  <c r="L996" i="9"/>
  <c r="W996" i="9"/>
  <c r="H1010" i="9"/>
  <c r="S1010" i="9"/>
  <c r="K996" i="9"/>
  <c r="V996" i="9"/>
  <c r="K1003" i="9"/>
  <c r="V1003" i="9"/>
  <c r="M996" i="9"/>
  <c r="X996" i="9"/>
  <c r="J1001" i="9"/>
  <c r="U1001" i="9"/>
  <c r="H1002" i="9"/>
  <c r="S1002" i="9"/>
  <c r="L1006" i="9"/>
  <c r="W1006" i="9"/>
  <c r="G997" i="9"/>
  <c r="R997" i="9"/>
  <c r="I1000" i="9"/>
  <c r="T1000" i="9"/>
  <c r="H1006" i="9"/>
  <c r="S1006" i="9"/>
  <c r="H996" i="9"/>
  <c r="S996" i="9"/>
  <c r="N1009" i="9"/>
  <c r="Y1009" i="9"/>
  <c r="I997" i="9"/>
  <c r="T997" i="9"/>
  <c r="O1005" i="9"/>
  <c r="Z1005" i="9"/>
  <c r="K998" i="9"/>
  <c r="V998" i="9"/>
  <c r="G1007" i="9"/>
  <c r="R1007" i="9"/>
  <c r="L1003" i="9"/>
  <c r="W1003" i="9"/>
  <c r="F1000" i="9"/>
  <c r="Q1000" i="9"/>
  <c r="K1008" i="9"/>
  <c r="V1008" i="9"/>
  <c r="H1001" i="9"/>
  <c r="S1001" i="9"/>
  <c r="M1009" i="9"/>
  <c r="X1009" i="9"/>
  <c r="O1008" i="9"/>
  <c r="Z1008" i="9"/>
  <c r="K1000" i="9"/>
  <c r="V1000" i="9"/>
  <c r="G1009" i="9"/>
  <c r="R1009" i="9"/>
  <c r="M1001" i="9"/>
  <c r="X1001" i="9"/>
  <c r="I1010" i="9"/>
  <c r="T1010" i="9"/>
  <c r="F995" i="9"/>
  <c r="Q995" i="9"/>
  <c r="H1003" i="9"/>
  <c r="S1003" i="9"/>
  <c r="O995" i="9"/>
  <c r="Z995" i="9"/>
  <c r="J1004" i="9"/>
  <c r="U1004" i="9"/>
  <c r="I998" i="9"/>
  <c r="T998" i="9"/>
  <c r="M999" i="9"/>
  <c r="X999" i="9"/>
  <c r="M1007" i="9"/>
  <c r="X1007" i="9"/>
  <c r="H1005" i="9"/>
  <c r="S1005" i="9"/>
  <c r="H998" i="9"/>
  <c r="S998" i="9"/>
  <c r="N995" i="9"/>
  <c r="Y995" i="9"/>
  <c r="K995" i="9"/>
  <c r="V995" i="9"/>
  <c r="I1001" i="9"/>
  <c r="T1001" i="9"/>
  <c r="N1008" i="9"/>
  <c r="Y1008" i="9"/>
  <c r="F1003" i="9"/>
  <c r="Q1003" i="9"/>
  <c r="J1005" i="9"/>
  <c r="U1005" i="9"/>
  <c r="H1000" i="9"/>
  <c r="S1000" i="9"/>
  <c r="J1010" i="9"/>
  <c r="U1010" i="9"/>
  <c r="F996" i="9"/>
  <c r="Q996" i="9"/>
  <c r="N1007" i="9"/>
  <c r="Y1007" i="9"/>
  <c r="N997" i="9"/>
  <c r="Y997" i="9"/>
  <c r="L1000" i="9"/>
  <c r="W1000" i="9"/>
  <c r="H1007" i="9"/>
  <c r="S1007" i="9"/>
  <c r="I1006" i="9"/>
  <c r="T1006" i="9"/>
  <c r="M1006" i="9"/>
  <c r="X1006" i="9"/>
  <c r="L1002" i="9"/>
  <c r="W1002" i="9"/>
  <c r="L998" i="9"/>
  <c r="W998" i="9"/>
  <c r="G1010" i="9"/>
  <c r="R1010" i="9"/>
  <c r="G995" i="9"/>
  <c r="R995" i="9"/>
  <c r="I1004" i="9"/>
  <c r="T1004" i="9"/>
  <c r="K1005" i="9"/>
  <c r="V1005" i="9"/>
  <c r="I996" i="9"/>
  <c r="T996" i="9"/>
  <c r="K997" i="9"/>
  <c r="V997" i="9"/>
  <c r="K1001" i="9"/>
  <c r="V1001" i="9"/>
  <c r="K1007" i="9"/>
  <c r="V1007" i="9"/>
  <c r="M1008" i="9"/>
  <c r="X1008" i="9"/>
  <c r="I1008" i="9"/>
  <c r="T1008" i="9"/>
  <c r="N998" i="9"/>
  <c r="Y998" i="9"/>
  <c r="J995" i="9"/>
  <c r="U995" i="9"/>
  <c r="F1002" i="9"/>
  <c r="Q1002" i="9"/>
  <c r="N1005" i="9"/>
  <c r="Y1005" i="9"/>
  <c r="O1001" i="9"/>
  <c r="Z1001" i="9"/>
  <c r="J1002" i="9"/>
  <c r="U1002" i="9"/>
  <c r="N1003" i="9"/>
  <c r="Y1003" i="9"/>
  <c r="L1005" i="9"/>
  <c r="W1005" i="9"/>
  <c r="N999" i="9"/>
  <c r="Y999" i="9"/>
  <c r="J1003" i="9"/>
  <c r="U1003" i="9"/>
  <c r="H995" i="9"/>
  <c r="S995" i="9"/>
  <c r="J996" i="9"/>
  <c r="U996" i="9"/>
  <c r="I999" i="9"/>
  <c r="T999" i="9"/>
  <c r="J1006" i="9"/>
  <c r="U1006" i="9"/>
  <c r="L1007" i="9"/>
  <c r="W1007" i="9"/>
  <c r="J998" i="9"/>
  <c r="U998" i="9"/>
  <c r="L999" i="9"/>
  <c r="W999" i="9"/>
  <c r="M1005" i="9"/>
  <c r="X1005" i="9"/>
  <c r="L1009" i="9"/>
  <c r="W1009" i="9"/>
  <c r="N1010" i="9"/>
  <c r="Y1010" i="9"/>
  <c r="H999" i="9"/>
  <c r="S999" i="9"/>
  <c r="L1004" i="9"/>
  <c r="W1004" i="9"/>
  <c r="F997" i="9"/>
  <c r="Q997" i="9"/>
  <c r="K1010" i="9"/>
  <c r="V1010" i="9"/>
  <c r="J999" i="9"/>
  <c r="U999" i="9"/>
  <c r="G1006" i="9"/>
  <c r="R1006" i="9"/>
  <c r="G1003" i="9"/>
  <c r="R1003" i="9"/>
  <c r="N1001" i="9"/>
  <c r="Y1001" i="9"/>
  <c r="M997" i="9"/>
  <c r="X997" i="9"/>
  <c r="F1009" i="9"/>
  <c r="Q1009" i="9"/>
  <c r="L1001" i="9"/>
  <c r="W1001" i="9"/>
  <c r="N1002" i="9"/>
  <c r="Y1002" i="9"/>
  <c r="M995" i="9"/>
  <c r="X995" i="9"/>
  <c r="O996" i="9"/>
  <c r="Z996" i="9"/>
  <c r="J1000" i="9"/>
  <c r="U1000" i="9"/>
  <c r="N1004" i="9"/>
  <c r="Y1004" i="9"/>
  <c r="F1006" i="9"/>
  <c r="Q1006" i="9"/>
  <c r="O998" i="9"/>
  <c r="Z998" i="9"/>
  <c r="G1000" i="9"/>
  <c r="R1000" i="9"/>
  <c r="N1006" i="9"/>
  <c r="Y1006" i="9"/>
  <c r="J1008" i="9"/>
  <c r="U1008" i="9"/>
  <c r="F1001" i="9"/>
  <c r="Q1001" i="9"/>
  <c r="G1005" i="9"/>
  <c r="R1005" i="9"/>
  <c r="I1007" i="9"/>
  <c r="T1007" i="9"/>
  <c r="F1005" i="9"/>
  <c r="Q1005" i="9"/>
  <c r="L995" i="9"/>
  <c r="W995" i="9"/>
  <c r="L1010" i="9"/>
  <c r="W1010" i="9"/>
  <c r="M998" i="9"/>
  <c r="X998" i="9"/>
  <c r="O1000" i="9"/>
  <c r="Z1000" i="9"/>
  <c r="F999" i="9"/>
  <c r="Q999" i="9"/>
  <c r="G999" i="9"/>
  <c r="R999" i="9"/>
  <c r="G1001" i="9"/>
  <c r="R1001" i="9"/>
  <c r="L1008" i="9"/>
  <c r="W1008" i="9"/>
  <c r="G1004" i="9"/>
  <c r="R1004" i="9"/>
  <c r="J997" i="9"/>
  <c r="U997" i="9"/>
  <c r="M1003" i="9"/>
  <c r="X1003" i="9"/>
  <c r="M1004" i="9"/>
  <c r="X1004" i="9"/>
  <c r="I1002" i="9"/>
  <c r="T1002" i="9"/>
  <c r="I1009" i="9"/>
  <c r="T1009" i="9"/>
  <c r="H1004" i="9"/>
  <c r="S1004" i="9"/>
  <c r="O1004" i="9"/>
  <c r="Z1004" i="9"/>
  <c r="O1006" i="9"/>
  <c r="Z1006" i="9"/>
  <c r="F1010" i="9"/>
  <c r="Q1010" i="9"/>
  <c r="J1009" i="9"/>
  <c r="U1009" i="9"/>
  <c r="O1002" i="9"/>
  <c r="Z1002" i="9"/>
  <c r="O997" i="9"/>
  <c r="Z997" i="9"/>
  <c r="G1008" i="9"/>
  <c r="R1008" i="9"/>
  <c r="K1004" i="9"/>
  <c r="V1004" i="9"/>
  <c r="F1007" i="9"/>
  <c r="Q1007" i="9"/>
  <c r="O1010" i="9"/>
  <c r="Z1010" i="9"/>
  <c r="G660" i="9"/>
  <c r="R660" i="9"/>
  <c r="H662" i="9"/>
  <c r="S662" i="9"/>
  <c r="J664" i="9"/>
  <c r="U664" i="9"/>
  <c r="K666" i="9"/>
  <c r="V666" i="9"/>
  <c r="L668" i="9"/>
  <c r="W668" i="9"/>
  <c r="F660" i="9"/>
  <c r="Q660" i="9"/>
  <c r="O662" i="9"/>
  <c r="Z662" i="9"/>
  <c r="M665" i="9"/>
  <c r="X665" i="9"/>
  <c r="K668" i="9"/>
  <c r="V668" i="9"/>
  <c r="N671" i="9"/>
  <c r="Y671" i="9"/>
  <c r="M659" i="9"/>
  <c r="X659" i="9"/>
  <c r="K662" i="9"/>
  <c r="V662" i="9"/>
  <c r="G666" i="9"/>
  <c r="R666" i="9"/>
  <c r="J671" i="9"/>
  <c r="U671" i="9"/>
  <c r="I661" i="9"/>
  <c r="T661" i="9"/>
  <c r="O666" i="9"/>
  <c r="Z666" i="9"/>
  <c r="I673" i="9"/>
  <c r="T673" i="9"/>
  <c r="O660" i="9"/>
  <c r="Z660" i="9"/>
  <c r="M663" i="9"/>
  <c r="X663" i="9"/>
  <c r="L666" i="9"/>
  <c r="W666" i="9"/>
  <c r="J669" i="9"/>
  <c r="U669" i="9"/>
  <c r="O672" i="9"/>
  <c r="Z672" i="9"/>
  <c r="N666" i="9"/>
  <c r="Y666" i="9"/>
  <c r="N673" i="9"/>
  <c r="Y673" i="9"/>
  <c r="J663" i="9"/>
  <c r="U663" i="9"/>
  <c r="F669" i="9"/>
  <c r="Q669" i="9"/>
  <c r="N674" i="9"/>
  <c r="Y674" i="9"/>
  <c r="O673" i="9"/>
  <c r="Z673" i="9"/>
  <c r="K667" i="9"/>
  <c r="V667" i="9"/>
  <c r="G661" i="9"/>
  <c r="R661" i="9"/>
  <c r="H671" i="9"/>
  <c r="S671" i="9"/>
  <c r="I670" i="9"/>
  <c r="T670" i="9"/>
  <c r="O663" i="9"/>
  <c r="Z663" i="9"/>
  <c r="M674" i="9"/>
  <c r="X674" i="9"/>
  <c r="O661" i="9"/>
  <c r="Z661" i="9"/>
  <c r="F672" i="9"/>
  <c r="Q672" i="9"/>
  <c r="M664" i="9"/>
  <c r="X664" i="9"/>
  <c r="M666" i="9"/>
  <c r="X666" i="9"/>
  <c r="G663" i="9"/>
  <c r="R663" i="9"/>
  <c r="J670" i="9"/>
  <c r="U670" i="9"/>
  <c r="J659" i="9"/>
  <c r="U659" i="9"/>
  <c r="L660" i="9"/>
  <c r="W660" i="9"/>
  <c r="I663" i="9"/>
  <c r="T663" i="9"/>
  <c r="F666" i="9"/>
  <c r="Q666" i="9"/>
  <c r="H669" i="9"/>
  <c r="S669" i="9"/>
  <c r="J661" i="9"/>
  <c r="U661" i="9"/>
  <c r="F665" i="9"/>
  <c r="Q665" i="9"/>
  <c r="I669" i="9"/>
  <c r="T669" i="9"/>
  <c r="J673" i="9"/>
  <c r="U673" i="9"/>
  <c r="N661" i="9"/>
  <c r="Y661" i="9"/>
  <c r="J667" i="9"/>
  <c r="U667" i="9"/>
  <c r="L674" i="9"/>
  <c r="W674" i="9"/>
  <c r="L665" i="9"/>
  <c r="W665" i="9"/>
  <c r="O674" i="9"/>
  <c r="Z674" i="9"/>
  <c r="J662" i="9"/>
  <c r="U662" i="9"/>
  <c r="N665" i="9"/>
  <c r="Y665" i="9"/>
  <c r="K670" i="9"/>
  <c r="V670" i="9"/>
  <c r="K674" i="9"/>
  <c r="V674" i="9"/>
  <c r="H672" i="9"/>
  <c r="S672" i="9"/>
  <c r="N664" i="9"/>
  <c r="Y664" i="9"/>
  <c r="K672" i="9"/>
  <c r="V672" i="9"/>
  <c r="F670" i="9"/>
  <c r="Q670" i="9"/>
  <c r="O665" i="9"/>
  <c r="Z665" i="9"/>
  <c r="J674" i="9"/>
  <c r="U674" i="9"/>
  <c r="O671" i="9"/>
  <c r="Z671" i="9"/>
  <c r="I662" i="9"/>
  <c r="T662" i="9"/>
  <c r="I668" i="9"/>
  <c r="T668" i="9"/>
  <c r="K663" i="9"/>
  <c r="V663" i="9"/>
  <c r="K661" i="9"/>
  <c r="V661" i="9"/>
  <c r="M672" i="9"/>
  <c r="X672" i="9"/>
  <c r="I666" i="9"/>
  <c r="T666" i="9"/>
  <c r="G659" i="9"/>
  <c r="R659" i="9"/>
  <c r="H661" i="9"/>
  <c r="S661" i="9"/>
  <c r="N663" i="9"/>
  <c r="Y663" i="9"/>
  <c r="F667" i="9"/>
  <c r="Q667" i="9"/>
  <c r="N669" i="9"/>
  <c r="Y669" i="9"/>
  <c r="G662" i="9"/>
  <c r="R662" i="9"/>
  <c r="J666" i="9"/>
  <c r="U666" i="9"/>
  <c r="H670" i="9"/>
  <c r="S670" i="9"/>
  <c r="H674" i="9"/>
  <c r="S674" i="9"/>
  <c r="F664" i="9"/>
  <c r="Q664" i="9"/>
  <c r="H668" i="9"/>
  <c r="S668" i="9"/>
  <c r="N659" i="9"/>
  <c r="Y659" i="9"/>
  <c r="J668" i="9"/>
  <c r="U668" i="9"/>
  <c r="F663" i="9"/>
  <c r="Q663" i="9"/>
  <c r="I667" i="9"/>
  <c r="T667" i="9"/>
  <c r="I671" i="9"/>
  <c r="T671" i="9"/>
  <c r="H663" i="9"/>
  <c r="S663" i="9"/>
  <c r="H659" i="9"/>
  <c r="S659" i="9"/>
  <c r="H666" i="9"/>
  <c r="S666" i="9"/>
  <c r="G674" i="9"/>
  <c r="R674" i="9"/>
  <c r="I672" i="9"/>
  <c r="T672" i="9"/>
  <c r="I664" i="9"/>
  <c r="T664" i="9"/>
  <c r="N672" i="9"/>
  <c r="Y672" i="9"/>
  <c r="M668" i="9"/>
  <c r="X668" i="9"/>
  <c r="M660" i="9"/>
  <c r="X660" i="9"/>
  <c r="G665" i="9"/>
  <c r="R665" i="9"/>
  <c r="I674" i="9"/>
  <c r="T674" i="9"/>
  <c r="F674" i="9"/>
  <c r="Q674" i="9"/>
  <c r="O659" i="9"/>
  <c r="Z659" i="9"/>
  <c r="I665" i="9"/>
  <c r="T665" i="9"/>
  <c r="J665" i="9"/>
  <c r="U665" i="9"/>
  <c r="N667" i="9"/>
  <c r="Y667" i="9"/>
  <c r="F673" i="9"/>
  <c r="Q673" i="9"/>
  <c r="H665" i="9"/>
  <c r="S665" i="9"/>
  <c r="F662" i="9"/>
  <c r="Q662" i="9"/>
  <c r="K659" i="9"/>
  <c r="V659" i="9"/>
  <c r="O669" i="9"/>
  <c r="Z669" i="9"/>
  <c r="M661" i="9"/>
  <c r="X661" i="9"/>
  <c r="L667" i="9"/>
  <c r="W667" i="9"/>
  <c r="L663" i="9"/>
  <c r="W663" i="9"/>
  <c r="F671" i="9"/>
  <c r="Q671" i="9"/>
  <c r="L664" i="9"/>
  <c r="W664" i="9"/>
  <c r="L662" i="9"/>
  <c r="W662" i="9"/>
  <c r="H660" i="9"/>
  <c r="S660" i="9"/>
  <c r="F668" i="9"/>
  <c r="Q668" i="9"/>
  <c r="O668" i="9"/>
  <c r="Z668" i="9"/>
  <c r="M667" i="9"/>
  <c r="X667" i="9"/>
  <c r="M670" i="9"/>
  <c r="X670" i="9"/>
  <c r="L669" i="9"/>
  <c r="W669" i="9"/>
  <c r="J672" i="9"/>
  <c r="U672" i="9"/>
  <c r="G671" i="9"/>
  <c r="R671" i="9"/>
  <c r="K669" i="9"/>
  <c r="V669" i="9"/>
  <c r="N662" i="9"/>
  <c r="Y662" i="9"/>
  <c r="G668" i="9"/>
  <c r="R668" i="9"/>
  <c r="H664" i="9"/>
  <c r="S664" i="9"/>
  <c r="L672" i="9"/>
  <c r="W672" i="9"/>
  <c r="G664" i="9"/>
  <c r="R664" i="9"/>
  <c r="L661" i="9"/>
  <c r="W661" i="9"/>
  <c r="N668" i="9"/>
  <c r="Y668" i="9"/>
  <c r="L670" i="9"/>
  <c r="W670" i="9"/>
  <c r="O670" i="9"/>
  <c r="Z670" i="9"/>
  <c r="G669" i="9"/>
  <c r="R669" i="9"/>
  <c r="K673" i="9"/>
  <c r="V673" i="9"/>
  <c r="K671" i="9"/>
  <c r="V671" i="9"/>
  <c r="O667" i="9"/>
  <c r="Z667" i="9"/>
  <c r="L673" i="9"/>
  <c r="W673" i="9"/>
  <c r="F659" i="9"/>
  <c r="Q659" i="9"/>
  <c r="O664" i="9"/>
  <c r="Z664" i="9"/>
  <c r="I659" i="9"/>
  <c r="T659" i="9"/>
  <c r="H667" i="9"/>
  <c r="S667" i="9"/>
  <c r="J660" i="9"/>
  <c r="U660" i="9"/>
  <c r="M669" i="9"/>
  <c r="X669" i="9"/>
  <c r="G670" i="9"/>
  <c r="R670" i="9"/>
  <c r="K664" i="9"/>
  <c r="V664" i="9"/>
  <c r="G672" i="9"/>
  <c r="R672" i="9"/>
  <c r="K660" i="9"/>
  <c r="V660" i="9"/>
  <c r="H673" i="9"/>
  <c r="S673" i="9"/>
  <c r="M662" i="9"/>
  <c r="X662" i="9"/>
  <c r="G667" i="9"/>
  <c r="R667" i="9"/>
  <c r="N670" i="9"/>
  <c r="Y670" i="9"/>
  <c r="G673" i="9"/>
  <c r="R673" i="9"/>
  <c r="L659" i="9"/>
  <c r="W659" i="9"/>
  <c r="N660" i="9"/>
  <c r="Y660" i="9"/>
  <c r="F661" i="9"/>
  <c r="Q661" i="9"/>
  <c r="M671" i="9"/>
  <c r="X671" i="9"/>
  <c r="M673" i="9"/>
  <c r="X673" i="9"/>
  <c r="L671" i="9"/>
  <c r="W671" i="9"/>
  <c r="K665" i="9"/>
  <c r="V665" i="9"/>
  <c r="I660" i="9"/>
  <c r="T660" i="9"/>
  <c r="P104" i="9"/>
  <c r="P109" i="9"/>
  <c r="P113" i="9"/>
  <c r="J964" i="9"/>
  <c r="U964" i="9"/>
  <c r="O972" i="9"/>
  <c r="Z972" i="9"/>
  <c r="L965" i="9"/>
  <c r="W965" i="9"/>
  <c r="G974" i="9"/>
  <c r="R974" i="9"/>
  <c r="H973" i="9"/>
  <c r="S973" i="9"/>
  <c r="I973" i="9"/>
  <c r="T973" i="9"/>
  <c r="I967" i="9"/>
  <c r="T967" i="9"/>
  <c r="F978" i="9"/>
  <c r="Q978" i="9"/>
  <c r="H978" i="9"/>
  <c r="S978" i="9"/>
  <c r="F973" i="9"/>
  <c r="Q973" i="9"/>
  <c r="F963" i="9"/>
  <c r="Q963" i="9"/>
  <c r="I971" i="9"/>
  <c r="T971" i="9"/>
  <c r="F964" i="9"/>
  <c r="Q964" i="9"/>
  <c r="K972" i="9"/>
  <c r="V972" i="9"/>
  <c r="F970" i="9"/>
  <c r="Q970" i="9"/>
  <c r="G970" i="9"/>
  <c r="R970" i="9"/>
  <c r="M978" i="9"/>
  <c r="X978" i="9"/>
  <c r="F976" i="9"/>
  <c r="Q976" i="9"/>
  <c r="J967" i="9"/>
  <c r="U967" i="9"/>
  <c r="H968" i="9"/>
  <c r="S968" i="9"/>
  <c r="I963" i="9"/>
  <c r="T963" i="9"/>
  <c r="O971" i="9"/>
  <c r="Z971" i="9"/>
  <c r="K964" i="9"/>
  <c r="V964" i="9"/>
  <c r="G973" i="9"/>
  <c r="R973" i="9"/>
  <c r="G971" i="9"/>
  <c r="R971" i="9"/>
  <c r="H971" i="9"/>
  <c r="S971" i="9"/>
  <c r="G963" i="9"/>
  <c r="R963" i="9"/>
  <c r="I965" i="9"/>
  <c r="T965" i="9"/>
  <c r="N965" i="9"/>
  <c r="Y965" i="9"/>
  <c r="F965" i="9"/>
  <c r="Q965" i="9"/>
  <c r="O963" i="9"/>
  <c r="Z963" i="9"/>
  <c r="J972" i="9"/>
  <c r="U972" i="9"/>
  <c r="G965" i="9"/>
  <c r="R965" i="9"/>
  <c r="L973" i="9"/>
  <c r="W973" i="9"/>
  <c r="G972" i="9"/>
  <c r="R972" i="9"/>
  <c r="I972" i="9"/>
  <c r="T972" i="9"/>
  <c r="H965" i="9"/>
  <c r="S965" i="9"/>
  <c r="O973" i="9"/>
  <c r="Z973" i="9"/>
  <c r="H964" i="9"/>
  <c r="S964" i="9"/>
  <c r="H976" i="9"/>
  <c r="S976" i="9"/>
  <c r="G966" i="9"/>
  <c r="R966" i="9"/>
  <c r="J974" i="9"/>
  <c r="U974" i="9"/>
  <c r="M972" i="9"/>
  <c r="X972" i="9"/>
  <c r="N969" i="9"/>
  <c r="Y969" i="9"/>
  <c r="F974" i="9"/>
  <c r="Q974" i="9"/>
  <c r="H975" i="9"/>
  <c r="S975" i="9"/>
  <c r="K975" i="9"/>
  <c r="V975" i="9"/>
  <c r="J968" i="9"/>
  <c r="U968" i="9"/>
  <c r="L966" i="9"/>
  <c r="W966" i="9"/>
  <c r="K974" i="9"/>
  <c r="V974" i="9"/>
  <c r="M975" i="9"/>
  <c r="X975" i="9"/>
  <c r="K976" i="9"/>
  <c r="V976" i="9"/>
  <c r="O976" i="9"/>
  <c r="Z976" i="9"/>
  <c r="M968" i="9"/>
  <c r="X968" i="9"/>
  <c r="H977" i="9"/>
  <c r="S977" i="9"/>
  <c r="O969" i="9"/>
  <c r="Z969" i="9"/>
  <c r="N964" i="9"/>
  <c r="Y964" i="9"/>
  <c r="K968" i="9"/>
  <c r="V968" i="9"/>
  <c r="J975" i="9"/>
  <c r="U975" i="9"/>
  <c r="J963" i="9"/>
  <c r="U963" i="9"/>
  <c r="L975" i="9"/>
  <c r="W975" i="9"/>
  <c r="G978" i="9"/>
  <c r="R978" i="9"/>
  <c r="O977" i="9"/>
  <c r="Z977" i="9"/>
  <c r="H970" i="9"/>
  <c r="S970" i="9"/>
  <c r="L967" i="9"/>
  <c r="W967" i="9"/>
  <c r="N968" i="9"/>
  <c r="Y968" i="9"/>
  <c r="O978" i="9"/>
  <c r="Z978" i="9"/>
  <c r="I966" i="9"/>
  <c r="T966" i="9"/>
  <c r="L968" i="9"/>
  <c r="W968" i="9"/>
  <c r="G968" i="9"/>
  <c r="R968" i="9"/>
  <c r="I969" i="9"/>
  <c r="T969" i="9"/>
  <c r="M963" i="9"/>
  <c r="X963" i="9"/>
  <c r="K970" i="9"/>
  <c r="V970" i="9"/>
  <c r="F967" i="9"/>
  <c r="Q967" i="9"/>
  <c r="N970" i="9"/>
  <c r="Y970" i="9"/>
  <c r="K963" i="9"/>
  <c r="V963" i="9"/>
  <c r="F972" i="9"/>
  <c r="Q972" i="9"/>
  <c r="O968" i="9"/>
  <c r="Z968" i="9"/>
  <c r="G969" i="9"/>
  <c r="R969" i="9"/>
  <c r="G977" i="9"/>
  <c r="R977" i="9"/>
  <c r="M971" i="9"/>
  <c r="X971" i="9"/>
  <c r="F969" i="9"/>
  <c r="Q969" i="9"/>
  <c r="J971" i="9"/>
  <c r="U971" i="9"/>
  <c r="L972" i="9"/>
  <c r="W972" i="9"/>
  <c r="H969" i="9"/>
  <c r="S969" i="9"/>
  <c r="M977" i="9"/>
  <c r="X977" i="9"/>
  <c r="J970" i="9"/>
  <c r="U970" i="9"/>
  <c r="M965" i="9"/>
  <c r="X965" i="9"/>
  <c r="O965" i="9"/>
  <c r="Z965" i="9"/>
  <c r="M970" i="9"/>
  <c r="X970" i="9"/>
  <c r="K978" i="9"/>
  <c r="V978" i="9"/>
  <c r="N973" i="9"/>
  <c r="Y973" i="9"/>
  <c r="N963" i="9"/>
  <c r="Y963" i="9"/>
  <c r="J969" i="9"/>
  <c r="U969" i="9"/>
  <c r="M969" i="9"/>
  <c r="X969" i="9"/>
  <c r="I978" i="9"/>
  <c r="T978" i="9"/>
  <c r="O970" i="9"/>
  <c r="Z970" i="9"/>
  <c r="N966" i="9"/>
  <c r="Y966" i="9"/>
  <c r="O966" i="9"/>
  <c r="Z966" i="9"/>
  <c r="N972" i="9"/>
  <c r="Y972" i="9"/>
  <c r="H963" i="9"/>
  <c r="S963" i="9"/>
  <c r="H972" i="9"/>
  <c r="S972" i="9"/>
  <c r="N977" i="9"/>
  <c r="Y977" i="9"/>
  <c r="H966" i="9"/>
  <c r="S966" i="9"/>
  <c r="I970" i="9"/>
  <c r="T970" i="9"/>
  <c r="N978" i="9"/>
  <c r="Y978" i="9"/>
  <c r="K971" i="9"/>
  <c r="V971" i="9"/>
  <c r="O967" i="9"/>
  <c r="Z967" i="9"/>
  <c r="F968" i="9"/>
  <c r="Q968" i="9"/>
  <c r="O974" i="9"/>
  <c r="Z974" i="9"/>
  <c r="K967" i="9"/>
  <c r="V967" i="9"/>
  <c r="L970" i="9"/>
  <c r="W970" i="9"/>
  <c r="L974" i="9"/>
  <c r="W974" i="9"/>
  <c r="N975" i="9"/>
  <c r="Y975" i="9"/>
  <c r="K966" i="9"/>
  <c r="V966" i="9"/>
  <c r="G975" i="9"/>
  <c r="R975" i="9"/>
  <c r="M967" i="9"/>
  <c r="X967" i="9"/>
  <c r="I976" i="9"/>
  <c r="T976" i="9"/>
  <c r="K977" i="9"/>
  <c r="V977" i="9"/>
  <c r="L977" i="9"/>
  <c r="W977" i="9"/>
  <c r="O975" i="9"/>
  <c r="Z975" i="9"/>
  <c r="L969" i="9"/>
  <c r="W969" i="9"/>
  <c r="N971" i="9"/>
  <c r="Y971" i="9"/>
  <c r="H974" i="9"/>
  <c r="S974" i="9"/>
  <c r="O964" i="9"/>
  <c r="Z964" i="9"/>
  <c r="K973" i="9"/>
  <c r="V973" i="9"/>
  <c r="M974" i="9"/>
  <c r="X974" i="9"/>
  <c r="I974" i="9"/>
  <c r="T974" i="9"/>
  <c r="K969" i="9"/>
  <c r="V969" i="9"/>
  <c r="L976" i="9"/>
  <c r="W976" i="9"/>
  <c r="K965" i="9"/>
  <c r="V965" i="9"/>
  <c r="M966" i="9"/>
  <c r="X966" i="9"/>
  <c r="I975" i="9"/>
  <c r="T975" i="9"/>
  <c r="L971" i="9"/>
  <c r="W971" i="9"/>
  <c r="F975" i="9"/>
  <c r="Q975" i="9"/>
  <c r="F966" i="9"/>
  <c r="Q966" i="9"/>
  <c r="H967" i="9"/>
  <c r="S967" i="9"/>
  <c r="J976" i="9"/>
  <c r="U976" i="9"/>
  <c r="M973" i="9"/>
  <c r="X973" i="9"/>
  <c r="J973" i="9"/>
  <c r="U973" i="9"/>
  <c r="J977" i="9"/>
  <c r="U977" i="9"/>
  <c r="M964" i="9"/>
  <c r="X964" i="9"/>
  <c r="N974" i="9"/>
  <c r="Y974" i="9"/>
  <c r="J965" i="9"/>
  <c r="U965" i="9"/>
  <c r="G967" i="9"/>
  <c r="R967" i="9"/>
  <c r="I968" i="9"/>
  <c r="T968" i="9"/>
  <c r="N976" i="9"/>
  <c r="Y976" i="9"/>
  <c r="J978" i="9"/>
  <c r="U978" i="9"/>
  <c r="G964" i="9"/>
  <c r="R964" i="9"/>
  <c r="F971" i="9"/>
  <c r="Q971" i="9"/>
  <c r="G976" i="9"/>
  <c r="R976" i="9"/>
  <c r="I977" i="9"/>
  <c r="T977" i="9"/>
  <c r="I964" i="9"/>
  <c r="T964" i="9"/>
  <c r="L978" i="9"/>
  <c r="W978" i="9"/>
  <c r="N967" i="9"/>
  <c r="Y967" i="9"/>
  <c r="M976" i="9"/>
  <c r="X976" i="9"/>
  <c r="L963" i="9"/>
  <c r="W963" i="9"/>
  <c r="J966" i="9"/>
  <c r="U966" i="9"/>
  <c r="F977" i="9"/>
  <c r="Q977" i="9"/>
  <c r="L964" i="9"/>
  <c r="W964" i="9"/>
  <c r="H676" i="9"/>
  <c r="S676" i="9"/>
  <c r="N677" i="9"/>
  <c r="Y677" i="9"/>
  <c r="J679" i="9"/>
  <c r="U679" i="9"/>
  <c r="F681" i="9"/>
  <c r="Q681" i="9"/>
  <c r="L682" i="9"/>
  <c r="W682" i="9"/>
  <c r="H684" i="9"/>
  <c r="S684" i="9"/>
  <c r="N685" i="9"/>
  <c r="Y685" i="9"/>
  <c r="J687" i="9"/>
  <c r="U687" i="9"/>
  <c r="F689" i="9"/>
  <c r="Q689" i="9"/>
  <c r="L690" i="9"/>
  <c r="W690" i="9"/>
  <c r="I676" i="9"/>
  <c r="T676" i="9"/>
  <c r="O677" i="9"/>
  <c r="Z677" i="9"/>
  <c r="K679" i="9"/>
  <c r="V679" i="9"/>
  <c r="G681" i="9"/>
  <c r="R681" i="9"/>
  <c r="M682" i="9"/>
  <c r="X682" i="9"/>
  <c r="I684" i="9"/>
  <c r="T684" i="9"/>
  <c r="O685" i="9"/>
  <c r="Z685" i="9"/>
  <c r="K687" i="9"/>
  <c r="V687" i="9"/>
  <c r="G689" i="9"/>
  <c r="R689" i="9"/>
  <c r="M690" i="9"/>
  <c r="X690" i="9"/>
  <c r="M677" i="9"/>
  <c r="X677" i="9"/>
  <c r="O680" i="9"/>
  <c r="Z680" i="9"/>
  <c r="G684" i="9"/>
  <c r="R684" i="9"/>
  <c r="I687" i="9"/>
  <c r="T687" i="9"/>
  <c r="K690" i="9"/>
  <c r="V690" i="9"/>
  <c r="G678" i="9"/>
  <c r="R678" i="9"/>
  <c r="I681" i="9"/>
  <c r="T681" i="9"/>
  <c r="K684" i="9"/>
  <c r="V684" i="9"/>
  <c r="M687" i="9"/>
  <c r="X687" i="9"/>
  <c r="O690" i="9"/>
  <c r="Z690" i="9"/>
  <c r="L677" i="9"/>
  <c r="W677" i="9"/>
  <c r="L681" i="9"/>
  <c r="W681" i="9"/>
  <c r="J686" i="9"/>
  <c r="U686" i="9"/>
  <c r="J676" i="9"/>
  <c r="U676" i="9"/>
  <c r="L679" i="9"/>
  <c r="W679" i="9"/>
  <c r="N682" i="9"/>
  <c r="Y682" i="9"/>
  <c r="F686" i="9"/>
  <c r="Q686" i="9"/>
  <c r="H689" i="9"/>
  <c r="S689" i="9"/>
  <c r="H683" i="9"/>
  <c r="S683" i="9"/>
  <c r="J690" i="9"/>
  <c r="U690" i="9"/>
  <c r="L676" i="9"/>
  <c r="W676" i="9"/>
  <c r="L678" i="9"/>
  <c r="W678" i="9"/>
  <c r="L680" i="9"/>
  <c r="W680" i="9"/>
  <c r="F683" i="9"/>
  <c r="Q683" i="9"/>
  <c r="F685" i="9"/>
  <c r="Q685" i="9"/>
  <c r="F687" i="9"/>
  <c r="Q687" i="9"/>
  <c r="J689" i="9"/>
  <c r="U689" i="9"/>
  <c r="K675" i="9"/>
  <c r="V675" i="9"/>
  <c r="K677" i="9"/>
  <c r="V677" i="9"/>
  <c r="O679" i="9"/>
  <c r="Z679" i="9"/>
  <c r="O681" i="9"/>
  <c r="Z681" i="9"/>
  <c r="O683" i="9"/>
  <c r="Z683" i="9"/>
  <c r="I686" i="9"/>
  <c r="T686" i="9"/>
  <c r="I688" i="9"/>
  <c r="T688" i="9"/>
  <c r="I690" i="9"/>
  <c r="T690" i="9"/>
  <c r="K678" i="9"/>
  <c r="V678" i="9"/>
  <c r="K682" i="9"/>
  <c r="V682" i="9"/>
  <c r="K686" i="9"/>
  <c r="V686" i="9"/>
  <c r="M675" i="9"/>
  <c r="X675" i="9"/>
  <c r="M679" i="9"/>
  <c r="X679" i="9"/>
  <c r="M683" i="9"/>
  <c r="X683" i="9"/>
  <c r="K688" i="9"/>
  <c r="V688" i="9"/>
  <c r="F676" i="9"/>
  <c r="Q676" i="9"/>
  <c r="N680" i="9"/>
  <c r="Y680" i="9"/>
  <c r="F688" i="9"/>
  <c r="Q688" i="9"/>
  <c r="F678" i="9"/>
  <c r="Q678" i="9"/>
  <c r="F682" i="9"/>
  <c r="Q682" i="9"/>
  <c r="N686" i="9"/>
  <c r="Y686" i="9"/>
  <c r="N690" i="9"/>
  <c r="Y690" i="9"/>
  <c r="N688" i="9"/>
  <c r="Y688" i="9"/>
  <c r="F675" i="9"/>
  <c r="Q675" i="9"/>
  <c r="F677" i="9"/>
  <c r="Q677" i="9"/>
  <c r="F679" i="9"/>
  <c r="Q679" i="9"/>
  <c r="J681" i="9"/>
  <c r="U681" i="9"/>
  <c r="J683" i="9"/>
  <c r="U683" i="9"/>
  <c r="J685" i="9"/>
  <c r="U685" i="9"/>
  <c r="N687" i="9"/>
  <c r="Y687" i="9"/>
  <c r="N689" i="9"/>
  <c r="Y689" i="9"/>
  <c r="O675" i="9"/>
  <c r="Z675" i="9"/>
  <c r="I678" i="9"/>
  <c r="T678" i="9"/>
  <c r="I680" i="9"/>
  <c r="T680" i="9"/>
  <c r="I682" i="9"/>
  <c r="T682" i="9"/>
  <c r="M684" i="9"/>
  <c r="X684" i="9"/>
  <c r="M686" i="9"/>
  <c r="X686" i="9"/>
  <c r="M688" i="9"/>
  <c r="X688" i="9"/>
  <c r="I675" i="9"/>
  <c r="T675" i="9"/>
  <c r="I679" i="9"/>
  <c r="T679" i="9"/>
  <c r="I683" i="9"/>
  <c r="T683" i="9"/>
  <c r="G688" i="9"/>
  <c r="R688" i="9"/>
  <c r="K676" i="9"/>
  <c r="V676" i="9"/>
  <c r="K680" i="9"/>
  <c r="V680" i="9"/>
  <c r="I685" i="9"/>
  <c r="T685" i="9"/>
  <c r="I689" i="9"/>
  <c r="T689" i="9"/>
  <c r="N676" i="9"/>
  <c r="Y676" i="9"/>
  <c r="J682" i="9"/>
  <c r="U682" i="9"/>
  <c r="L689" i="9"/>
  <c r="W689" i="9"/>
  <c r="N678" i="9"/>
  <c r="Y678" i="9"/>
  <c r="L683" i="9"/>
  <c r="W683" i="9"/>
  <c r="L687" i="9"/>
  <c r="W687" i="9"/>
  <c r="H679" i="9"/>
  <c r="S679" i="9"/>
  <c r="H680" i="9"/>
  <c r="S680" i="9"/>
  <c r="L688" i="9"/>
  <c r="W688" i="9"/>
  <c r="K681" i="9"/>
  <c r="V681" i="9"/>
  <c r="O689" i="9"/>
  <c r="Z689" i="9"/>
  <c r="M689" i="9"/>
  <c r="X689" i="9"/>
  <c r="H675" i="9"/>
  <c r="S675" i="9"/>
  <c r="H681" i="9"/>
  <c r="S681" i="9"/>
  <c r="J677" i="9"/>
  <c r="U677" i="9"/>
  <c r="N681" i="9"/>
  <c r="Y681" i="9"/>
  <c r="H686" i="9"/>
  <c r="S686" i="9"/>
  <c r="H690" i="9"/>
  <c r="S690" i="9"/>
  <c r="M678" i="9"/>
  <c r="X678" i="9"/>
  <c r="G683" i="9"/>
  <c r="R683" i="9"/>
  <c r="G687" i="9"/>
  <c r="R687" i="9"/>
  <c r="G676" i="9"/>
  <c r="R676" i="9"/>
  <c r="O684" i="9"/>
  <c r="Z684" i="9"/>
  <c r="I677" i="9"/>
  <c r="T677" i="9"/>
  <c r="G686" i="9"/>
  <c r="R686" i="9"/>
  <c r="J678" i="9"/>
  <c r="U678" i="9"/>
  <c r="L675" i="9"/>
  <c r="W675" i="9"/>
  <c r="J684" i="9"/>
  <c r="U684" i="9"/>
  <c r="L685" i="9"/>
  <c r="W685" i="9"/>
  <c r="H678" i="9"/>
  <c r="S678" i="9"/>
  <c r="H682" i="9"/>
  <c r="S682" i="9"/>
  <c r="L686" i="9"/>
  <c r="W686" i="9"/>
  <c r="G675" i="9"/>
  <c r="R675" i="9"/>
  <c r="G679" i="9"/>
  <c r="R679" i="9"/>
  <c r="K683" i="9"/>
  <c r="V683" i="9"/>
  <c r="O687" i="9"/>
  <c r="Z687" i="9"/>
  <c r="O676" i="9"/>
  <c r="Z676" i="9"/>
  <c r="M685" i="9"/>
  <c r="X685" i="9"/>
  <c r="O678" i="9"/>
  <c r="Z678" i="9"/>
  <c r="O686" i="9"/>
  <c r="Z686" i="9"/>
  <c r="F680" i="9"/>
  <c r="Q680" i="9"/>
  <c r="H677" i="9"/>
  <c r="S677" i="9"/>
  <c r="H685" i="9"/>
  <c r="S685" i="9"/>
  <c r="H687" i="9"/>
  <c r="S687" i="9"/>
  <c r="J675" i="9"/>
  <c r="U675" i="9"/>
  <c r="N679" i="9"/>
  <c r="Y679" i="9"/>
  <c r="N683" i="9"/>
  <c r="Y683" i="9"/>
  <c r="H688" i="9"/>
  <c r="S688" i="9"/>
  <c r="M676" i="9"/>
  <c r="X676" i="9"/>
  <c r="M680" i="9"/>
  <c r="X680" i="9"/>
  <c r="G685" i="9"/>
  <c r="R685" i="9"/>
  <c r="K689" i="9"/>
  <c r="V689" i="9"/>
  <c r="G680" i="9"/>
  <c r="R680" i="9"/>
  <c r="O688" i="9"/>
  <c r="Z688" i="9"/>
  <c r="G682" i="9"/>
  <c r="R682" i="9"/>
  <c r="G690" i="9"/>
  <c r="R690" i="9"/>
  <c r="F684" i="9"/>
  <c r="Q684" i="9"/>
  <c r="J680" i="9"/>
  <c r="U680" i="9"/>
  <c r="J688" i="9"/>
  <c r="U688" i="9"/>
  <c r="N675" i="9"/>
  <c r="Y675" i="9"/>
  <c r="L684" i="9"/>
  <c r="W684" i="9"/>
  <c r="G677" i="9"/>
  <c r="R677" i="9"/>
  <c r="K685" i="9"/>
  <c r="V685" i="9"/>
  <c r="M681" i="9"/>
  <c r="X681" i="9"/>
  <c r="O682" i="9"/>
  <c r="Z682" i="9"/>
  <c r="N684" i="9"/>
  <c r="Y684" i="9"/>
  <c r="F690" i="9"/>
  <c r="Q690" i="9"/>
  <c r="L486" i="9"/>
  <c r="W486" i="9"/>
  <c r="F493" i="9"/>
  <c r="Q493" i="9"/>
  <c r="N483" i="9"/>
  <c r="Y483" i="9"/>
  <c r="H490" i="9"/>
  <c r="S490" i="9"/>
  <c r="L496" i="9"/>
  <c r="W496" i="9"/>
  <c r="H492" i="9"/>
  <c r="S492" i="9"/>
  <c r="N493" i="9"/>
  <c r="Y493" i="9"/>
  <c r="L492" i="9"/>
  <c r="W492" i="9"/>
  <c r="F497" i="9"/>
  <c r="Q497" i="9"/>
  <c r="J497" i="9"/>
  <c r="U497" i="9"/>
  <c r="N494" i="9"/>
  <c r="Y494" i="9"/>
  <c r="J488" i="9"/>
  <c r="U488" i="9"/>
  <c r="G498" i="9"/>
  <c r="R498" i="9"/>
  <c r="M491" i="9"/>
  <c r="X491" i="9"/>
  <c r="I485" i="9"/>
  <c r="T485" i="9"/>
  <c r="M494" i="9"/>
  <c r="X494" i="9"/>
  <c r="I488" i="9"/>
  <c r="T488" i="9"/>
  <c r="N498" i="9"/>
  <c r="Y498" i="9"/>
  <c r="F486" i="9"/>
  <c r="Q486" i="9"/>
  <c r="I489" i="9"/>
  <c r="T489" i="9"/>
  <c r="O493" i="9"/>
  <c r="Z493" i="9"/>
  <c r="L497" i="9"/>
  <c r="W497" i="9"/>
  <c r="H491" i="9"/>
  <c r="S491" i="9"/>
  <c r="N484" i="9"/>
  <c r="Y484" i="9"/>
  <c r="K494" i="9"/>
  <c r="V494" i="9"/>
  <c r="G488" i="9"/>
  <c r="R488" i="9"/>
  <c r="K497" i="9"/>
  <c r="V497" i="9"/>
  <c r="G491" i="9"/>
  <c r="R491" i="9"/>
  <c r="M484" i="9"/>
  <c r="X484" i="9"/>
  <c r="L487" i="9"/>
  <c r="W487" i="9"/>
  <c r="O490" i="9"/>
  <c r="Z490" i="9"/>
  <c r="I492" i="9"/>
  <c r="T492" i="9"/>
  <c r="J490" i="9"/>
  <c r="U490" i="9"/>
  <c r="M496" i="9"/>
  <c r="X496" i="9"/>
  <c r="H487" i="9"/>
  <c r="S487" i="9"/>
  <c r="G487" i="9"/>
  <c r="R487" i="9"/>
  <c r="O491" i="9"/>
  <c r="Z491" i="9"/>
  <c r="G492" i="9"/>
  <c r="R492" i="9"/>
  <c r="G484" i="9"/>
  <c r="R484" i="9"/>
  <c r="K485" i="9"/>
  <c r="V485" i="9"/>
  <c r="H488" i="9"/>
  <c r="S488" i="9"/>
  <c r="H496" i="9"/>
  <c r="S496" i="9"/>
  <c r="L488" i="9"/>
  <c r="W488" i="9"/>
  <c r="H498" i="9"/>
  <c r="S498" i="9"/>
  <c r="L498" i="9"/>
  <c r="W498" i="9"/>
  <c r="J489" i="9"/>
  <c r="U489" i="9"/>
  <c r="F491" i="9"/>
  <c r="Q491" i="9"/>
  <c r="F498" i="9"/>
  <c r="Q498" i="9"/>
  <c r="F490" i="9"/>
  <c r="Q490" i="9"/>
  <c r="K496" i="9"/>
  <c r="V496" i="9"/>
  <c r="K488" i="9"/>
  <c r="V488" i="9"/>
  <c r="I496" i="9"/>
  <c r="T496" i="9"/>
  <c r="M486" i="9"/>
  <c r="X486" i="9"/>
  <c r="J492" i="9"/>
  <c r="U492" i="9"/>
  <c r="K492" i="9"/>
  <c r="V492" i="9"/>
  <c r="M490" i="9"/>
  <c r="X490" i="9"/>
  <c r="J494" i="9"/>
  <c r="U494" i="9"/>
  <c r="J486" i="9"/>
  <c r="U486" i="9"/>
  <c r="O492" i="9"/>
  <c r="Z492" i="9"/>
  <c r="O484" i="9"/>
  <c r="Z484" i="9"/>
  <c r="M492" i="9"/>
  <c r="X492" i="9"/>
  <c r="H497" i="9"/>
  <c r="S497" i="9"/>
  <c r="I497" i="9"/>
  <c r="T497" i="9"/>
  <c r="K495" i="9"/>
  <c r="V495" i="9"/>
  <c r="F484" i="9"/>
  <c r="Q484" i="9"/>
  <c r="O483" i="9"/>
  <c r="Z483" i="9"/>
  <c r="K493" i="9"/>
  <c r="V493" i="9"/>
  <c r="H495" i="9"/>
  <c r="S495" i="9"/>
  <c r="G495" i="9"/>
  <c r="R495" i="9"/>
  <c r="I498" i="9"/>
  <c r="T498" i="9"/>
  <c r="G483" i="9"/>
  <c r="R483" i="9"/>
  <c r="N489" i="9"/>
  <c r="Y489" i="9"/>
  <c r="N497" i="9"/>
  <c r="Y497" i="9"/>
  <c r="N491" i="9"/>
  <c r="Y491" i="9"/>
  <c r="N485" i="9"/>
  <c r="Y485" i="9"/>
  <c r="H484" i="9"/>
  <c r="S484" i="9"/>
  <c r="N495" i="9"/>
  <c r="Y495" i="9"/>
  <c r="H494" i="9"/>
  <c r="S494" i="9"/>
  <c r="J496" i="9"/>
  <c r="U496" i="9"/>
  <c r="N486" i="9"/>
  <c r="Y486" i="9"/>
  <c r="O494" i="9"/>
  <c r="Z494" i="9"/>
  <c r="O486" i="9"/>
  <c r="Z486" i="9"/>
  <c r="G493" i="9"/>
  <c r="R493" i="9"/>
  <c r="G485" i="9"/>
  <c r="R485" i="9"/>
  <c r="H489" i="9"/>
  <c r="S489" i="9"/>
  <c r="G486" i="9"/>
  <c r="R486" i="9"/>
  <c r="K487" i="9"/>
  <c r="V487" i="9"/>
  <c r="N492" i="9"/>
  <c r="Y492" i="9"/>
  <c r="H483" i="9"/>
  <c r="S483" i="9"/>
  <c r="I491" i="9"/>
  <c r="T491" i="9"/>
  <c r="I483" i="9"/>
  <c r="T483" i="9"/>
  <c r="K489" i="9"/>
  <c r="V489" i="9"/>
  <c r="F494" i="9"/>
  <c r="Q494" i="9"/>
  <c r="G494" i="9"/>
  <c r="R494" i="9"/>
  <c r="G489" i="9"/>
  <c r="R489" i="9"/>
  <c r="M493" i="9"/>
  <c r="X493" i="9"/>
  <c r="L493" i="9"/>
  <c r="W493" i="9"/>
  <c r="F492" i="9"/>
  <c r="Q492" i="9"/>
  <c r="N488" i="9"/>
  <c r="Y488" i="9"/>
  <c r="M488" i="9"/>
  <c r="X488" i="9"/>
  <c r="F485" i="9"/>
  <c r="Q485" i="9"/>
  <c r="J495" i="9"/>
  <c r="U495" i="9"/>
  <c r="L491" i="9"/>
  <c r="W491" i="9"/>
  <c r="O489" i="9"/>
  <c r="Z489" i="9"/>
  <c r="F496" i="9"/>
  <c r="Q496" i="9"/>
  <c r="I494" i="9"/>
  <c r="T494" i="9"/>
  <c r="N496" i="9"/>
  <c r="Y496" i="9"/>
  <c r="M485" i="9"/>
  <c r="X485" i="9"/>
  <c r="J491" i="9"/>
  <c r="U491" i="9"/>
  <c r="J493" i="9"/>
  <c r="U493" i="9"/>
  <c r="F483" i="9"/>
  <c r="Q483" i="9"/>
  <c r="L484" i="9"/>
  <c r="W484" i="9"/>
  <c r="H485" i="9"/>
  <c r="S485" i="9"/>
  <c r="M483" i="9"/>
  <c r="X483" i="9"/>
  <c r="K483" i="9"/>
  <c r="V483" i="9"/>
  <c r="K484" i="9"/>
  <c r="V484" i="9"/>
  <c r="L489" i="9"/>
  <c r="W489" i="9"/>
  <c r="M489" i="9"/>
  <c r="X489" i="9"/>
  <c r="O487" i="9"/>
  <c r="Z487" i="9"/>
  <c r="M487" i="9"/>
  <c r="X487" i="9"/>
  <c r="I487" i="9"/>
  <c r="T487" i="9"/>
  <c r="I495" i="9"/>
  <c r="T495" i="9"/>
  <c r="J498" i="9"/>
  <c r="U498" i="9"/>
  <c r="L494" i="9"/>
  <c r="W494" i="9"/>
  <c r="F495" i="9"/>
  <c r="Q495" i="9"/>
  <c r="H486" i="9"/>
  <c r="S486" i="9"/>
  <c r="N487" i="9"/>
  <c r="Y487" i="9"/>
  <c r="L483" i="9"/>
  <c r="W483" i="9"/>
  <c r="O497" i="9"/>
  <c r="Z497" i="9"/>
  <c r="L495" i="9"/>
  <c r="W495" i="9"/>
  <c r="G497" i="9"/>
  <c r="R497" i="9"/>
  <c r="F488" i="9"/>
  <c r="Q488" i="9"/>
  <c r="K486" i="9"/>
  <c r="V486" i="9"/>
  <c r="I486" i="9"/>
  <c r="T486" i="9"/>
  <c r="M498" i="9"/>
  <c r="X498" i="9"/>
  <c r="I490" i="9"/>
  <c r="T490" i="9"/>
  <c r="O488" i="9"/>
  <c r="Z488" i="9"/>
  <c r="L485" i="9"/>
  <c r="W485" i="9"/>
  <c r="J483" i="9"/>
  <c r="U483" i="9"/>
  <c r="J485" i="9"/>
  <c r="U485" i="9"/>
  <c r="F489" i="9"/>
  <c r="Q489" i="9"/>
  <c r="J487" i="9"/>
  <c r="U487" i="9"/>
  <c r="H493" i="9"/>
  <c r="S493" i="9"/>
  <c r="I493" i="9"/>
  <c r="T493" i="9"/>
  <c r="K491" i="9"/>
  <c r="V491" i="9"/>
  <c r="O498" i="9"/>
  <c r="Z498" i="9"/>
  <c r="I484" i="9"/>
  <c r="T484" i="9"/>
  <c r="M497" i="9"/>
  <c r="X497" i="9"/>
  <c r="O495" i="9"/>
  <c r="Z495" i="9"/>
  <c r="N490" i="9"/>
  <c r="Y490" i="9"/>
  <c r="O485" i="9"/>
  <c r="Z485" i="9"/>
  <c r="O496" i="9"/>
  <c r="Z496" i="9"/>
  <c r="K498" i="9"/>
  <c r="V498" i="9"/>
  <c r="F487" i="9"/>
  <c r="Q487" i="9"/>
  <c r="L490" i="9"/>
  <c r="W490" i="9"/>
  <c r="G490" i="9"/>
  <c r="R490" i="9"/>
  <c r="M495" i="9"/>
  <c r="X495" i="9"/>
  <c r="G496" i="9"/>
  <c r="R496" i="9"/>
  <c r="J484" i="9"/>
  <c r="U484" i="9"/>
  <c r="K490" i="9"/>
  <c r="V490" i="9"/>
  <c r="I1091" i="9"/>
  <c r="T1091" i="9"/>
  <c r="K1093" i="9"/>
  <c r="V1093" i="9"/>
  <c r="L1095" i="9"/>
  <c r="W1095" i="9"/>
  <c r="M1097" i="9"/>
  <c r="X1097" i="9"/>
  <c r="O1099" i="9"/>
  <c r="Z1099" i="9"/>
  <c r="F1102" i="9"/>
  <c r="Q1102" i="9"/>
  <c r="G1104" i="9"/>
  <c r="R1104" i="9"/>
  <c r="I1106" i="9"/>
  <c r="T1106" i="9"/>
  <c r="K1092" i="9"/>
  <c r="V1092" i="9"/>
  <c r="M1094" i="9"/>
  <c r="X1094" i="9"/>
  <c r="N1096" i="9"/>
  <c r="Y1096" i="9"/>
  <c r="O1098" i="9"/>
  <c r="Z1098" i="9"/>
  <c r="G1101" i="9"/>
  <c r="R1101" i="9"/>
  <c r="H1103" i="9"/>
  <c r="S1103" i="9"/>
  <c r="I1105" i="9"/>
  <c r="T1105" i="9"/>
  <c r="H1091" i="9"/>
  <c r="S1091" i="9"/>
  <c r="K1095" i="9"/>
  <c r="V1095" i="9"/>
  <c r="M1099" i="9"/>
  <c r="X1099" i="9"/>
  <c r="F1104" i="9"/>
  <c r="Q1104" i="9"/>
  <c r="M1092" i="9"/>
  <c r="X1092" i="9"/>
  <c r="O1096" i="9"/>
  <c r="Z1096" i="9"/>
  <c r="H1101" i="9"/>
  <c r="S1101" i="9"/>
  <c r="K1105" i="9"/>
  <c r="V1105" i="9"/>
  <c r="I1095" i="9"/>
  <c r="T1095" i="9"/>
  <c r="O1103" i="9"/>
  <c r="Z1103" i="9"/>
  <c r="F1096" i="9"/>
  <c r="Q1096" i="9"/>
  <c r="K1104" i="9"/>
  <c r="V1104" i="9"/>
  <c r="N1102" i="9"/>
  <c r="Y1102" i="9"/>
  <c r="J1096" i="9"/>
  <c r="U1096" i="9"/>
  <c r="M1100" i="9"/>
  <c r="X1100" i="9"/>
  <c r="N1105" i="9"/>
  <c r="Y1105" i="9"/>
  <c r="J1099" i="9"/>
  <c r="U1099" i="9"/>
  <c r="F1093" i="9"/>
  <c r="Q1093" i="9"/>
  <c r="H1102" i="9"/>
  <c r="S1102" i="9"/>
  <c r="N1095" i="9"/>
  <c r="Y1095" i="9"/>
  <c r="J1103" i="9"/>
  <c r="U1103" i="9"/>
  <c r="H1106" i="9"/>
  <c r="S1106" i="9"/>
  <c r="J1093" i="9"/>
  <c r="U1093" i="9"/>
  <c r="J1095" i="9"/>
  <c r="U1095" i="9"/>
  <c r="L1104" i="9"/>
  <c r="W1104" i="9"/>
  <c r="O1092" i="9"/>
  <c r="Z1092" i="9"/>
  <c r="G1096" i="9"/>
  <c r="R1096" i="9"/>
  <c r="N1098" i="9"/>
  <c r="Y1098" i="9"/>
  <c r="K1101" i="9"/>
  <c r="V1101" i="9"/>
  <c r="M1104" i="9"/>
  <c r="X1104" i="9"/>
  <c r="K1091" i="9"/>
  <c r="V1091" i="9"/>
  <c r="G1094" i="9"/>
  <c r="R1094" i="9"/>
  <c r="I1097" i="9"/>
  <c r="T1097" i="9"/>
  <c r="F1100" i="9"/>
  <c r="Q1100" i="9"/>
  <c r="M1102" i="9"/>
  <c r="X1102" i="9"/>
  <c r="O1105" i="9"/>
  <c r="Z1105" i="9"/>
  <c r="I1093" i="9"/>
  <c r="T1093" i="9"/>
  <c r="M1098" i="9"/>
  <c r="X1098" i="9"/>
  <c r="G1105" i="9"/>
  <c r="R1105" i="9"/>
  <c r="N1094" i="9"/>
  <c r="Y1094" i="9"/>
  <c r="G1100" i="9"/>
  <c r="R1100" i="9"/>
  <c r="K1106" i="9"/>
  <c r="V1106" i="9"/>
  <c r="L1099" i="9"/>
  <c r="W1099" i="9"/>
  <c r="O1093" i="9"/>
  <c r="Z1093" i="9"/>
  <c r="M1106" i="9"/>
  <c r="X1106" i="9"/>
  <c r="H1099" i="9"/>
  <c r="S1099" i="9"/>
  <c r="L1105" i="9"/>
  <c r="W1105" i="9"/>
  <c r="H1104" i="9"/>
  <c r="S1104" i="9"/>
  <c r="H1096" i="9"/>
  <c r="S1096" i="9"/>
  <c r="N1103" i="9"/>
  <c r="Y1103" i="9"/>
  <c r="H1094" i="9"/>
  <c r="S1094" i="9"/>
  <c r="F1097" i="9"/>
  <c r="Q1097" i="9"/>
  <c r="L1096" i="9"/>
  <c r="W1096" i="9"/>
  <c r="H1092" i="9"/>
  <c r="S1092" i="9"/>
  <c r="J1101" i="9"/>
  <c r="U1101" i="9"/>
  <c r="H1097" i="9"/>
  <c r="S1097" i="9"/>
  <c r="H1105" i="9"/>
  <c r="S1105" i="9"/>
  <c r="I1096" i="9"/>
  <c r="T1096" i="9"/>
  <c r="I1104" i="9"/>
  <c r="T1104" i="9"/>
  <c r="N1100" i="9"/>
  <c r="Y1100" i="9"/>
  <c r="G1099" i="9"/>
  <c r="R1099" i="9"/>
  <c r="F1106" i="9"/>
  <c r="Q1106" i="9"/>
  <c r="J1102" i="9"/>
  <c r="U1102" i="9"/>
  <c r="K1103" i="9"/>
  <c r="V1103" i="9"/>
  <c r="G1092" i="9"/>
  <c r="R1092" i="9"/>
  <c r="N1097" i="9"/>
  <c r="Y1097" i="9"/>
  <c r="L1100" i="9"/>
  <c r="W1100" i="9"/>
  <c r="L1106" i="9"/>
  <c r="W1106" i="9"/>
  <c r="H1098" i="9"/>
  <c r="S1098" i="9"/>
  <c r="O1091" i="9"/>
  <c r="Z1091" i="9"/>
  <c r="G1095" i="9"/>
  <c r="R1095" i="9"/>
  <c r="I1099" i="9"/>
  <c r="T1099" i="9"/>
  <c r="G1103" i="9"/>
  <c r="R1103" i="9"/>
  <c r="N1106" i="9"/>
  <c r="Y1106" i="9"/>
  <c r="H1095" i="9"/>
  <c r="S1095" i="9"/>
  <c r="J1098" i="9"/>
  <c r="U1098" i="9"/>
  <c r="G1102" i="9"/>
  <c r="R1102" i="9"/>
  <c r="J1106" i="9"/>
  <c r="U1106" i="9"/>
  <c r="K1096" i="9"/>
  <c r="V1096" i="9"/>
  <c r="O1102" i="9"/>
  <c r="Z1102" i="9"/>
  <c r="O1095" i="9"/>
  <c r="Z1095" i="9"/>
  <c r="I1103" i="9"/>
  <c r="T1103" i="9"/>
  <c r="K1097" i="9"/>
  <c r="V1097" i="9"/>
  <c r="G1098" i="9"/>
  <c r="R1098" i="9"/>
  <c r="K1098" i="9"/>
  <c r="V1098" i="9"/>
  <c r="G1097" i="9"/>
  <c r="R1097" i="9"/>
  <c r="L1102" i="9"/>
  <c r="W1102" i="9"/>
  <c r="J1091" i="9"/>
  <c r="U1091" i="9"/>
  <c r="J1097" i="9"/>
  <c r="U1097" i="9"/>
  <c r="N1093" i="9"/>
  <c r="Y1093" i="9"/>
  <c r="N1101" i="9"/>
  <c r="Y1101" i="9"/>
  <c r="N1091" i="9"/>
  <c r="Y1091" i="9"/>
  <c r="J1092" i="9"/>
  <c r="U1092" i="9"/>
  <c r="M1096" i="9"/>
  <c r="X1096" i="9"/>
  <c r="J1100" i="9"/>
  <c r="U1100" i="9"/>
  <c r="L1103" i="9"/>
  <c r="W1103" i="9"/>
  <c r="F1092" i="9"/>
  <c r="Q1092" i="9"/>
  <c r="M1095" i="9"/>
  <c r="X1095" i="9"/>
  <c r="K1099" i="9"/>
  <c r="V1099" i="9"/>
  <c r="M1103" i="9"/>
  <c r="X1103" i="9"/>
  <c r="O1106" i="9"/>
  <c r="Z1106" i="9"/>
  <c r="L1097" i="9"/>
  <c r="W1097" i="9"/>
  <c r="G1106" i="9"/>
  <c r="R1106" i="9"/>
  <c r="F1098" i="9"/>
  <c r="Q1098" i="9"/>
  <c r="J1104" i="9"/>
  <c r="U1104" i="9"/>
  <c r="M1101" i="9"/>
  <c r="X1101" i="9"/>
  <c r="I1100" i="9"/>
  <c r="T1100" i="9"/>
  <c r="O1094" i="9"/>
  <c r="Z1094" i="9"/>
  <c r="I1101" i="9"/>
  <c r="T1101" i="9"/>
  <c r="F1101" i="9"/>
  <c r="Q1101" i="9"/>
  <c r="J1105" i="9"/>
  <c r="U1105" i="9"/>
  <c r="L1092" i="9"/>
  <c r="W1092" i="9"/>
  <c r="F1103" i="9"/>
  <c r="Q1103" i="9"/>
  <c r="L1098" i="9"/>
  <c r="W1098" i="9"/>
  <c r="F1094" i="9"/>
  <c r="Q1094" i="9"/>
  <c r="O1100" i="9"/>
  <c r="Z1100" i="9"/>
  <c r="G1093" i="9"/>
  <c r="R1093" i="9"/>
  <c r="K1100" i="9"/>
  <c r="V1100" i="9"/>
  <c r="I1092" i="9"/>
  <c r="T1092" i="9"/>
  <c r="L1091" i="9"/>
  <c r="W1091" i="9"/>
  <c r="G1091" i="9"/>
  <c r="R1091" i="9"/>
  <c r="N1099" i="9"/>
  <c r="Y1099" i="9"/>
  <c r="K1102" i="9"/>
  <c r="V1102" i="9"/>
  <c r="L1101" i="9"/>
  <c r="W1101" i="9"/>
  <c r="M1093" i="9"/>
  <c r="X1093" i="9"/>
  <c r="I1094" i="9"/>
  <c r="T1094" i="9"/>
  <c r="F1099" i="9"/>
  <c r="Q1099" i="9"/>
  <c r="L1093" i="9"/>
  <c r="W1093" i="9"/>
  <c r="H1093" i="9"/>
  <c r="S1093" i="9"/>
  <c r="F1105" i="9"/>
  <c r="Q1105" i="9"/>
  <c r="I1098" i="9"/>
  <c r="T1098" i="9"/>
  <c r="O1097" i="9"/>
  <c r="Z1097" i="9"/>
  <c r="O1101" i="9"/>
  <c r="Z1101" i="9"/>
  <c r="M1091" i="9"/>
  <c r="X1091" i="9"/>
  <c r="L1094" i="9"/>
  <c r="W1094" i="9"/>
  <c r="F1095" i="9"/>
  <c r="Q1095" i="9"/>
  <c r="F1091" i="9"/>
  <c r="Q1091" i="9"/>
  <c r="M1105" i="9"/>
  <c r="X1105" i="9"/>
  <c r="N1104" i="9"/>
  <c r="Y1104" i="9"/>
  <c r="I1102" i="9"/>
  <c r="T1102" i="9"/>
  <c r="O1104" i="9"/>
  <c r="Z1104" i="9"/>
  <c r="H1100" i="9"/>
  <c r="S1100" i="9"/>
  <c r="K1094" i="9"/>
  <c r="V1094" i="9"/>
  <c r="J1094" i="9"/>
  <c r="U1094" i="9"/>
  <c r="N1092" i="9"/>
  <c r="Y1092" i="9"/>
  <c r="J311" i="9"/>
  <c r="U311" i="9"/>
  <c r="N311" i="9"/>
  <c r="Y311" i="9"/>
  <c r="N310" i="9"/>
  <c r="Y310" i="9"/>
  <c r="G319" i="9"/>
  <c r="R319" i="9"/>
  <c r="M313" i="9"/>
  <c r="X313" i="9"/>
  <c r="H307" i="9"/>
  <c r="S307" i="9"/>
  <c r="K315" i="9"/>
  <c r="V315" i="9"/>
  <c r="O308" i="9"/>
  <c r="Z308" i="9"/>
  <c r="O309" i="9"/>
  <c r="Z309" i="9"/>
  <c r="H319" i="9"/>
  <c r="S319" i="9"/>
  <c r="H320" i="9"/>
  <c r="S320" i="9"/>
  <c r="F315" i="9"/>
  <c r="Q315" i="9"/>
  <c r="L315" i="9"/>
  <c r="W315" i="9"/>
  <c r="G308" i="9"/>
  <c r="R308" i="9"/>
  <c r="F307" i="9"/>
  <c r="Q307" i="9"/>
  <c r="F312" i="9"/>
  <c r="Q312" i="9"/>
  <c r="I320" i="9"/>
  <c r="T320" i="9"/>
  <c r="K318" i="9"/>
  <c r="V318" i="9"/>
  <c r="J314" i="9"/>
  <c r="U314" i="9"/>
  <c r="F308" i="9"/>
  <c r="Q308" i="9"/>
  <c r="N321" i="9"/>
  <c r="Y321" i="9"/>
  <c r="J319" i="9"/>
  <c r="U319" i="9"/>
  <c r="F314" i="9"/>
  <c r="Q314" i="9"/>
  <c r="I322" i="9"/>
  <c r="T322" i="9"/>
  <c r="G320" i="9"/>
  <c r="R320" i="9"/>
  <c r="J310" i="9"/>
  <c r="U310" i="9"/>
  <c r="M318" i="9"/>
  <c r="X318" i="9"/>
  <c r="I315" i="9"/>
  <c r="T315" i="9"/>
  <c r="M319" i="9"/>
  <c r="X319" i="9"/>
  <c r="I313" i="9"/>
  <c r="T313" i="9"/>
  <c r="N309" i="9"/>
  <c r="Y309" i="9"/>
  <c r="L322" i="9"/>
  <c r="W322" i="9"/>
  <c r="J312" i="9"/>
  <c r="U312" i="9"/>
  <c r="M320" i="9"/>
  <c r="X320" i="9"/>
  <c r="O316" i="9"/>
  <c r="Z316" i="9"/>
  <c r="N308" i="9"/>
  <c r="Y308" i="9"/>
  <c r="G317" i="9"/>
  <c r="R317" i="9"/>
  <c r="G312" i="9"/>
  <c r="R312" i="9"/>
  <c r="M322" i="9"/>
  <c r="X322" i="9"/>
  <c r="I316" i="9"/>
  <c r="T316" i="9"/>
  <c r="H312" i="9"/>
  <c r="S312" i="9"/>
  <c r="H318" i="9"/>
  <c r="S318" i="9"/>
  <c r="H321" i="9"/>
  <c r="S321" i="9"/>
  <c r="K312" i="9"/>
  <c r="V312" i="9"/>
  <c r="O322" i="9"/>
  <c r="Z322" i="9"/>
  <c r="L312" i="9"/>
  <c r="W312" i="9"/>
  <c r="O320" i="9"/>
  <c r="Z320" i="9"/>
  <c r="K313" i="9"/>
  <c r="V313" i="9"/>
  <c r="K307" i="9"/>
  <c r="V307" i="9"/>
  <c r="F316" i="9"/>
  <c r="Q316" i="9"/>
  <c r="H314" i="9"/>
  <c r="S314" i="9"/>
  <c r="I319" i="9"/>
  <c r="T319" i="9"/>
  <c r="I310" i="9"/>
  <c r="T310" i="9"/>
  <c r="N322" i="9"/>
  <c r="Y322" i="9"/>
  <c r="L309" i="9"/>
  <c r="W309" i="9"/>
  <c r="N315" i="9"/>
  <c r="Y315" i="9"/>
  <c r="M317" i="9"/>
  <c r="X317" i="9"/>
  <c r="L321" i="9"/>
  <c r="W321" i="9"/>
  <c r="L319" i="9"/>
  <c r="W319" i="9"/>
  <c r="I321" i="9"/>
  <c r="T321" i="9"/>
  <c r="F311" i="9"/>
  <c r="Q311" i="9"/>
  <c r="H310" i="9"/>
  <c r="S310" i="9"/>
  <c r="K322" i="9"/>
  <c r="V322" i="9"/>
  <c r="M312" i="9"/>
  <c r="X312" i="9"/>
  <c r="M316" i="9"/>
  <c r="X316" i="9"/>
  <c r="O318" i="9"/>
  <c r="Z318" i="9"/>
  <c r="G309" i="9"/>
  <c r="R309" i="9"/>
  <c r="O311" i="9"/>
  <c r="Z311" i="9"/>
  <c r="J322" i="9"/>
  <c r="U322" i="9"/>
  <c r="I308" i="9"/>
  <c r="T308" i="9"/>
  <c r="F313" i="9"/>
  <c r="Q313" i="9"/>
  <c r="F321" i="9"/>
  <c r="Q321" i="9"/>
  <c r="H309" i="9"/>
  <c r="S309" i="9"/>
  <c r="K317" i="9"/>
  <c r="V317" i="9"/>
  <c r="K310" i="9"/>
  <c r="V310" i="9"/>
  <c r="J307" i="9"/>
  <c r="U307" i="9"/>
  <c r="O313" i="9"/>
  <c r="Z313" i="9"/>
  <c r="K321" i="9"/>
  <c r="V321" i="9"/>
  <c r="N312" i="9"/>
  <c r="Y312" i="9"/>
  <c r="H308" i="9"/>
  <c r="S308" i="9"/>
  <c r="H316" i="9"/>
  <c r="S316" i="9"/>
  <c r="J313" i="9"/>
  <c r="U313" i="9"/>
  <c r="L307" i="9"/>
  <c r="W307" i="9"/>
  <c r="O315" i="9"/>
  <c r="Z315" i="9"/>
  <c r="I307" i="9"/>
  <c r="T307" i="9"/>
  <c r="G322" i="9"/>
  <c r="R322" i="9"/>
  <c r="I312" i="9"/>
  <c r="T312" i="9"/>
  <c r="I318" i="9"/>
  <c r="T318" i="9"/>
  <c r="G318" i="9"/>
  <c r="R318" i="9"/>
  <c r="M311" i="9"/>
  <c r="X311" i="9"/>
  <c r="J309" i="9"/>
  <c r="U309" i="9"/>
  <c r="J321" i="9"/>
  <c r="U321" i="9"/>
  <c r="N307" i="9"/>
  <c r="Y307" i="9"/>
  <c r="I314" i="9"/>
  <c r="T314" i="9"/>
  <c r="O319" i="9"/>
  <c r="Z319" i="9"/>
  <c r="K320" i="9"/>
  <c r="V320" i="9"/>
  <c r="M310" i="9"/>
  <c r="X310" i="9"/>
  <c r="G315" i="9"/>
  <c r="R315" i="9"/>
  <c r="M314" i="9"/>
  <c r="X314" i="9"/>
  <c r="G321" i="9"/>
  <c r="R321" i="9"/>
  <c r="J317" i="9"/>
  <c r="U317" i="9"/>
  <c r="G316" i="9"/>
  <c r="R316" i="9"/>
  <c r="F320" i="9"/>
  <c r="Q320" i="9"/>
  <c r="F318" i="9"/>
  <c r="Q318" i="9"/>
  <c r="O314" i="9"/>
  <c r="Z314" i="9"/>
  <c r="G307" i="9"/>
  <c r="R307" i="9"/>
  <c r="L316" i="9"/>
  <c r="W316" i="9"/>
  <c r="G311" i="9"/>
  <c r="R311" i="9"/>
  <c r="I317" i="9"/>
  <c r="T317" i="9"/>
  <c r="M308" i="9"/>
  <c r="X308" i="9"/>
  <c r="F309" i="9"/>
  <c r="Q309" i="9"/>
  <c r="N319" i="9"/>
  <c r="Y319" i="9"/>
  <c r="K309" i="9"/>
  <c r="V309" i="9"/>
  <c r="M315" i="9"/>
  <c r="X315" i="9"/>
  <c r="L317" i="9"/>
  <c r="W317" i="9"/>
  <c r="L310" i="9"/>
  <c r="W310" i="9"/>
  <c r="N317" i="9"/>
  <c r="Y317" i="9"/>
  <c r="O307" i="9"/>
  <c r="Z307" i="9"/>
  <c r="G314" i="9"/>
  <c r="R314" i="9"/>
  <c r="H311" i="9"/>
  <c r="S311" i="9"/>
  <c r="J318" i="9"/>
  <c r="U318" i="9"/>
  <c r="L311" i="9"/>
  <c r="W311" i="9"/>
  <c r="H315" i="9"/>
  <c r="S315" i="9"/>
  <c r="L318" i="9"/>
  <c r="W318" i="9"/>
  <c r="L308" i="9"/>
  <c r="W308" i="9"/>
  <c r="G313" i="9"/>
  <c r="R313" i="9"/>
  <c r="F322" i="9"/>
  <c r="Q322" i="9"/>
  <c r="O310" i="9"/>
  <c r="Z310" i="9"/>
  <c r="J315" i="9"/>
  <c r="U315" i="9"/>
  <c r="H313" i="9"/>
  <c r="S313" i="9"/>
  <c r="G310" i="9"/>
  <c r="R310" i="9"/>
  <c r="N318" i="9"/>
  <c r="Y318" i="9"/>
  <c r="M307" i="9"/>
  <c r="X307" i="9"/>
  <c r="L314" i="9"/>
  <c r="W314" i="9"/>
  <c r="L313" i="9"/>
  <c r="W313" i="9"/>
  <c r="N320" i="9"/>
  <c r="Y320" i="9"/>
  <c r="K314" i="9"/>
  <c r="V314" i="9"/>
  <c r="N314" i="9"/>
  <c r="Y314" i="9"/>
  <c r="L320" i="9"/>
  <c r="W320" i="9"/>
  <c r="N316" i="9"/>
  <c r="Y316" i="9"/>
  <c r="O317" i="9"/>
  <c r="Z317" i="9"/>
  <c r="I311" i="9"/>
  <c r="T311" i="9"/>
  <c r="J308" i="9"/>
  <c r="U308" i="9"/>
  <c r="H317" i="9"/>
  <c r="S317" i="9"/>
  <c r="O321" i="9"/>
  <c r="Z321" i="9"/>
  <c r="N313" i="9"/>
  <c r="Y313" i="9"/>
  <c r="J316" i="9"/>
  <c r="U316" i="9"/>
  <c r="K316" i="9"/>
  <c r="V316" i="9"/>
  <c r="J320" i="9"/>
  <c r="U320" i="9"/>
  <c r="I309" i="9"/>
  <c r="T309" i="9"/>
  <c r="F317" i="9"/>
  <c r="Q317" i="9"/>
  <c r="F310" i="9"/>
  <c r="Q310" i="9"/>
  <c r="K319" i="9"/>
  <c r="V319" i="9"/>
  <c r="M309" i="9"/>
  <c r="X309" i="9"/>
  <c r="M321" i="9"/>
  <c r="X321" i="9"/>
  <c r="F319" i="9"/>
  <c r="Q319" i="9"/>
  <c r="K308" i="9"/>
  <c r="V308" i="9"/>
  <c r="O312" i="9"/>
  <c r="Z312" i="9"/>
  <c r="H322" i="9"/>
  <c r="S322" i="9"/>
  <c r="K311" i="9"/>
  <c r="V311" i="9"/>
  <c r="P56" i="5"/>
  <c r="P1089" i="9"/>
  <c r="P1078" i="9"/>
  <c r="P1083" i="9"/>
  <c r="P35" i="9"/>
  <c r="P49" i="9"/>
  <c r="P50" i="9"/>
  <c r="P44" i="9"/>
  <c r="P19" i="9"/>
  <c r="P29" i="9"/>
  <c r="P32" i="9"/>
  <c r="N822" i="9"/>
  <c r="Y822" i="9"/>
  <c r="I831" i="9"/>
  <c r="T831" i="9"/>
  <c r="F824" i="9"/>
  <c r="Q824" i="9"/>
  <c r="K832" i="9"/>
  <c r="V832" i="9"/>
  <c r="H831" i="9"/>
  <c r="S831" i="9"/>
  <c r="L832" i="9"/>
  <c r="W832" i="9"/>
  <c r="J820" i="9"/>
  <c r="U820" i="9"/>
  <c r="G832" i="9"/>
  <c r="R832" i="9"/>
  <c r="O825" i="9"/>
  <c r="Z825" i="9"/>
  <c r="I820" i="9"/>
  <c r="T820" i="9"/>
  <c r="I823" i="9"/>
  <c r="T823" i="9"/>
  <c r="N831" i="9"/>
  <c r="Y831" i="9"/>
  <c r="K824" i="9"/>
  <c r="V824" i="9"/>
  <c r="F833" i="9"/>
  <c r="Q833" i="9"/>
  <c r="H832" i="9"/>
  <c r="S832" i="9"/>
  <c r="M833" i="9"/>
  <c r="X833" i="9"/>
  <c r="K822" i="9"/>
  <c r="V822" i="9"/>
  <c r="I834" i="9"/>
  <c r="T834" i="9"/>
  <c r="I824" i="9"/>
  <c r="T824" i="9"/>
  <c r="M828" i="9"/>
  <c r="X828" i="9"/>
  <c r="N823" i="9"/>
  <c r="Y823" i="9"/>
  <c r="J832" i="9"/>
  <c r="U832" i="9"/>
  <c r="F825" i="9"/>
  <c r="Q825" i="9"/>
  <c r="L833" i="9"/>
  <c r="W833" i="9"/>
  <c r="I833" i="9"/>
  <c r="T833" i="9"/>
  <c r="N834" i="9"/>
  <c r="Y834" i="9"/>
  <c r="L824" i="9"/>
  <c r="W824" i="9"/>
  <c r="M832" i="9"/>
  <c r="X832" i="9"/>
  <c r="M822" i="9"/>
  <c r="X822" i="9"/>
  <c r="I822" i="9"/>
  <c r="T822" i="9"/>
  <c r="J824" i="9"/>
  <c r="U824" i="9"/>
  <c r="O832" i="9"/>
  <c r="Z832" i="9"/>
  <c r="L825" i="9"/>
  <c r="W825" i="9"/>
  <c r="G834" i="9"/>
  <c r="R834" i="9"/>
  <c r="J834" i="9"/>
  <c r="U834" i="9"/>
  <c r="F820" i="9"/>
  <c r="Q820" i="9"/>
  <c r="N826" i="9"/>
  <c r="Y826" i="9"/>
  <c r="G831" i="9"/>
  <c r="R831" i="9"/>
  <c r="G821" i="9"/>
  <c r="R821" i="9"/>
  <c r="M834" i="9"/>
  <c r="X834" i="9"/>
  <c r="L820" i="9"/>
  <c r="W820" i="9"/>
  <c r="H829" i="9"/>
  <c r="S829" i="9"/>
  <c r="N821" i="9"/>
  <c r="Y821" i="9"/>
  <c r="J830" i="9"/>
  <c r="U830" i="9"/>
  <c r="O826" i="9"/>
  <c r="Z826" i="9"/>
  <c r="J828" i="9"/>
  <c r="U828" i="9"/>
  <c r="L823" i="9"/>
  <c r="W823" i="9"/>
  <c r="M831" i="9"/>
  <c r="X831" i="9"/>
  <c r="I832" i="9"/>
  <c r="T832" i="9"/>
  <c r="G833" i="9"/>
  <c r="R833" i="9"/>
  <c r="H821" i="9"/>
  <c r="S821" i="9"/>
  <c r="M829" i="9"/>
  <c r="X829" i="9"/>
  <c r="J822" i="9"/>
  <c r="U822" i="9"/>
  <c r="O830" i="9"/>
  <c r="Z830" i="9"/>
  <c r="F828" i="9"/>
  <c r="Q828" i="9"/>
  <c r="J829" i="9"/>
  <c r="U829" i="9"/>
  <c r="N827" i="9"/>
  <c r="Y827" i="9"/>
  <c r="N833" i="9"/>
  <c r="Y833" i="9"/>
  <c r="M830" i="9"/>
  <c r="X830" i="9"/>
  <c r="O829" i="9"/>
  <c r="Z829" i="9"/>
  <c r="M821" i="9"/>
  <c r="X821" i="9"/>
  <c r="H830" i="9"/>
  <c r="S830" i="9"/>
  <c r="O822" i="9"/>
  <c r="Z822" i="9"/>
  <c r="J831" i="9"/>
  <c r="U831" i="9"/>
  <c r="F829" i="9"/>
  <c r="Q829" i="9"/>
  <c r="K830" i="9"/>
  <c r="V830" i="9"/>
  <c r="F830" i="9"/>
  <c r="Q830" i="9"/>
  <c r="J821" i="9"/>
  <c r="U821" i="9"/>
  <c r="G829" i="9"/>
  <c r="R829" i="9"/>
  <c r="M826" i="9"/>
  <c r="X826" i="9"/>
  <c r="H822" i="9"/>
  <c r="S822" i="9"/>
  <c r="N830" i="9"/>
  <c r="Y830" i="9"/>
  <c r="J823" i="9"/>
  <c r="U823" i="9"/>
  <c r="F832" i="9"/>
  <c r="Q832" i="9"/>
  <c r="G830" i="9"/>
  <c r="R830" i="9"/>
  <c r="L831" i="9"/>
  <c r="W831" i="9"/>
  <c r="H834" i="9"/>
  <c r="S834" i="9"/>
  <c r="M825" i="9"/>
  <c r="X825" i="9"/>
  <c r="K827" i="9"/>
  <c r="V827" i="9"/>
  <c r="K823" i="9"/>
  <c r="V823" i="9"/>
  <c r="J833" i="9"/>
  <c r="U833" i="9"/>
  <c r="L834" i="9"/>
  <c r="W834" i="9"/>
  <c r="G822" i="9"/>
  <c r="R822" i="9"/>
  <c r="K829" i="9"/>
  <c r="V829" i="9"/>
  <c r="O821" i="9"/>
  <c r="Z821" i="9"/>
  <c r="F834" i="9"/>
  <c r="Q834" i="9"/>
  <c r="J819" i="9"/>
  <c r="U819" i="9"/>
  <c r="H824" i="9"/>
  <c r="S824" i="9"/>
  <c r="O827" i="9"/>
  <c r="Z827" i="9"/>
  <c r="G825" i="9"/>
  <c r="R825" i="9"/>
  <c r="K834" i="9"/>
  <c r="V834" i="9"/>
  <c r="K820" i="9"/>
  <c r="V820" i="9"/>
  <c r="J826" i="9"/>
  <c r="U826" i="9"/>
  <c r="I826" i="9"/>
  <c r="T826" i="9"/>
  <c r="K831" i="9"/>
  <c r="V831" i="9"/>
  <c r="H819" i="9"/>
  <c r="S819" i="9"/>
  <c r="L821" i="9"/>
  <c r="W821" i="9"/>
  <c r="K828" i="9"/>
  <c r="V828" i="9"/>
  <c r="M824" i="9"/>
  <c r="X824" i="9"/>
  <c r="I828" i="9"/>
  <c r="T828" i="9"/>
  <c r="G819" i="9"/>
  <c r="R819" i="9"/>
  <c r="M819" i="9"/>
  <c r="X819" i="9"/>
  <c r="L822" i="9"/>
  <c r="W822" i="9"/>
  <c r="L830" i="9"/>
  <c r="W830" i="9"/>
  <c r="G823" i="9"/>
  <c r="R823" i="9"/>
  <c r="F819" i="9"/>
  <c r="Q819" i="9"/>
  <c r="H820" i="9"/>
  <c r="S820" i="9"/>
  <c r="M823" i="9"/>
  <c r="X823" i="9"/>
  <c r="N832" i="9"/>
  <c r="Y832" i="9"/>
  <c r="K821" i="9"/>
  <c r="V821" i="9"/>
  <c r="L819" i="9"/>
  <c r="W819" i="9"/>
  <c r="N820" i="9"/>
  <c r="Y820" i="9"/>
  <c r="N824" i="9"/>
  <c r="Y824" i="9"/>
  <c r="O834" i="9"/>
  <c r="Z834" i="9"/>
  <c r="O819" i="9"/>
  <c r="Z819" i="9"/>
  <c r="G820" i="9"/>
  <c r="R820" i="9"/>
  <c r="I821" i="9"/>
  <c r="T821" i="9"/>
  <c r="N825" i="9"/>
  <c r="Y825" i="9"/>
  <c r="I819" i="9"/>
  <c r="T819" i="9"/>
  <c r="O833" i="9"/>
  <c r="Z833" i="9"/>
  <c r="G826" i="9"/>
  <c r="R826" i="9"/>
  <c r="O828" i="9"/>
  <c r="Z828" i="9"/>
  <c r="J825" i="9"/>
  <c r="U825" i="9"/>
  <c r="O820" i="9"/>
  <c r="Z820" i="9"/>
  <c r="K833" i="9"/>
  <c r="V833" i="9"/>
  <c r="H827" i="9"/>
  <c r="S827" i="9"/>
  <c r="H833" i="9"/>
  <c r="S833" i="9"/>
  <c r="K826" i="9"/>
  <c r="V826" i="9"/>
  <c r="F823" i="9"/>
  <c r="Q823" i="9"/>
  <c r="G827" i="9"/>
  <c r="R827" i="9"/>
  <c r="H828" i="9"/>
  <c r="S828" i="9"/>
  <c r="H823" i="9"/>
  <c r="S823" i="9"/>
  <c r="L827" i="9"/>
  <c r="W827" i="9"/>
  <c r="H825" i="9"/>
  <c r="S825" i="9"/>
  <c r="M820" i="9"/>
  <c r="X820" i="9"/>
  <c r="I829" i="9"/>
  <c r="T829" i="9"/>
  <c r="J827" i="9"/>
  <c r="U827" i="9"/>
  <c r="L828" i="9"/>
  <c r="W828" i="9"/>
  <c r="I827" i="9"/>
  <c r="T827" i="9"/>
  <c r="K825" i="9"/>
  <c r="V825" i="9"/>
  <c r="O824" i="9"/>
  <c r="Z824" i="9"/>
  <c r="N819" i="9"/>
  <c r="Y819" i="9"/>
  <c r="K819" i="9"/>
  <c r="V819" i="9"/>
  <c r="L826" i="9"/>
  <c r="W826" i="9"/>
  <c r="F831" i="9"/>
  <c r="Q831" i="9"/>
  <c r="F826" i="9"/>
  <c r="Q826" i="9"/>
  <c r="F822" i="9"/>
  <c r="Q822" i="9"/>
  <c r="I830" i="9"/>
  <c r="T830" i="9"/>
  <c r="M827" i="9"/>
  <c r="X827" i="9"/>
  <c r="F821" i="9"/>
  <c r="Q821" i="9"/>
  <c r="F827" i="9"/>
  <c r="Q827" i="9"/>
  <c r="G824" i="9"/>
  <c r="R824" i="9"/>
  <c r="O823" i="9"/>
  <c r="Z823" i="9"/>
  <c r="N828" i="9"/>
  <c r="Y828" i="9"/>
  <c r="I825" i="9"/>
  <c r="T825" i="9"/>
  <c r="G828" i="9"/>
  <c r="R828" i="9"/>
  <c r="H826" i="9"/>
  <c r="S826" i="9"/>
  <c r="O831" i="9"/>
  <c r="Z831" i="9"/>
  <c r="N829" i="9"/>
  <c r="Y829" i="9"/>
  <c r="L829" i="9"/>
  <c r="W829" i="9"/>
  <c r="K804" i="9"/>
  <c r="V804" i="9"/>
  <c r="L806" i="9"/>
  <c r="W806" i="9"/>
  <c r="N808" i="9"/>
  <c r="Y808" i="9"/>
  <c r="O810" i="9"/>
  <c r="Z810" i="9"/>
  <c r="F813" i="9"/>
  <c r="Q813" i="9"/>
  <c r="H815" i="9"/>
  <c r="S815" i="9"/>
  <c r="I817" i="9"/>
  <c r="T817" i="9"/>
  <c r="F803" i="9"/>
  <c r="Q803" i="9"/>
  <c r="H805" i="9"/>
  <c r="S805" i="9"/>
  <c r="I807" i="9"/>
  <c r="T807" i="9"/>
  <c r="J809" i="9"/>
  <c r="U809" i="9"/>
  <c r="L811" i="9"/>
  <c r="W811" i="9"/>
  <c r="M813" i="9"/>
  <c r="X813" i="9"/>
  <c r="N815" i="9"/>
  <c r="Y815" i="9"/>
  <c r="F818" i="9"/>
  <c r="Q818" i="9"/>
  <c r="J805" i="9"/>
  <c r="U805" i="9"/>
  <c r="M809" i="9"/>
  <c r="X809" i="9"/>
  <c r="F814" i="9"/>
  <c r="Q814" i="9"/>
  <c r="H818" i="9"/>
  <c r="S818" i="9"/>
  <c r="O806" i="9"/>
  <c r="Z806" i="9"/>
  <c r="H811" i="9"/>
  <c r="S811" i="9"/>
  <c r="J815" i="9"/>
  <c r="U815" i="9"/>
  <c r="O804" i="9"/>
  <c r="Z804" i="9"/>
  <c r="J813" i="9"/>
  <c r="U813" i="9"/>
  <c r="L810" i="9"/>
  <c r="W810" i="9"/>
  <c r="J807" i="9"/>
  <c r="U807" i="9"/>
  <c r="F816" i="9"/>
  <c r="Q816" i="9"/>
  <c r="G808" i="9"/>
  <c r="R808" i="9"/>
  <c r="L816" i="9"/>
  <c r="W816" i="9"/>
  <c r="N812" i="9"/>
  <c r="Y812" i="9"/>
  <c r="M814" i="9"/>
  <c r="X814" i="9"/>
  <c r="I808" i="9"/>
  <c r="T808" i="9"/>
  <c r="K817" i="9"/>
  <c r="V817" i="9"/>
  <c r="G811" i="9"/>
  <c r="R811" i="9"/>
  <c r="M804" i="9"/>
  <c r="X804" i="9"/>
  <c r="K807" i="9"/>
  <c r="V807" i="9"/>
  <c r="O805" i="9"/>
  <c r="Z805" i="9"/>
  <c r="G807" i="9"/>
  <c r="R807" i="9"/>
  <c r="G815" i="9"/>
  <c r="R815" i="9"/>
  <c r="K805" i="9"/>
  <c r="V805" i="9"/>
  <c r="G812" i="9"/>
  <c r="R812" i="9"/>
  <c r="F805" i="9"/>
  <c r="Q805" i="9"/>
  <c r="M807" i="9"/>
  <c r="X807" i="9"/>
  <c r="J810" i="9"/>
  <c r="U810" i="9"/>
  <c r="L813" i="9"/>
  <c r="W813" i="9"/>
  <c r="H816" i="9"/>
  <c r="S816" i="9"/>
  <c r="O818" i="9"/>
  <c r="Z818" i="9"/>
  <c r="M805" i="9"/>
  <c r="X805" i="9"/>
  <c r="J808" i="9"/>
  <c r="U808" i="9"/>
  <c r="F811" i="9"/>
  <c r="Q811" i="9"/>
  <c r="H814" i="9"/>
  <c r="S814" i="9"/>
  <c r="O816" i="9"/>
  <c r="Z816" i="9"/>
  <c r="J804" i="9"/>
  <c r="U804" i="9"/>
  <c r="N810" i="9"/>
  <c r="Y810" i="9"/>
  <c r="G816" i="9"/>
  <c r="R816" i="9"/>
  <c r="N805" i="9"/>
  <c r="Y805" i="9"/>
  <c r="H812" i="9"/>
  <c r="S812" i="9"/>
  <c r="L817" i="9"/>
  <c r="W817" i="9"/>
  <c r="I811" i="9"/>
  <c r="T811" i="9"/>
  <c r="O814" i="9"/>
  <c r="Z814" i="9"/>
  <c r="M811" i="9"/>
  <c r="X811" i="9"/>
  <c r="F806" i="9"/>
  <c r="Q806" i="9"/>
  <c r="N818" i="9"/>
  <c r="Y818" i="9"/>
  <c r="O817" i="9"/>
  <c r="Z817" i="9"/>
  <c r="O809" i="9"/>
  <c r="Z809" i="9"/>
  <c r="O815" i="9"/>
  <c r="Z815" i="9"/>
  <c r="O807" i="9"/>
  <c r="Z807" i="9"/>
  <c r="M810" i="9"/>
  <c r="X810" i="9"/>
  <c r="M816" i="9"/>
  <c r="X816" i="9"/>
  <c r="K815" i="9"/>
  <c r="V815" i="9"/>
  <c r="I818" i="9"/>
  <c r="T818" i="9"/>
  <c r="G803" i="9"/>
  <c r="R803" i="9"/>
  <c r="L805" i="9"/>
  <c r="W805" i="9"/>
  <c r="H808" i="9"/>
  <c r="S808" i="9"/>
  <c r="J811" i="9"/>
  <c r="U811" i="9"/>
  <c r="G814" i="9"/>
  <c r="R814" i="9"/>
  <c r="N816" i="9"/>
  <c r="Y816" i="9"/>
  <c r="L803" i="9"/>
  <c r="W803" i="9"/>
  <c r="H806" i="9"/>
  <c r="S806" i="9"/>
  <c r="O808" i="9"/>
  <c r="Z808" i="9"/>
  <c r="N814" i="9"/>
  <c r="Y814" i="9"/>
  <c r="J817" i="9"/>
  <c r="U817" i="9"/>
  <c r="K806" i="9"/>
  <c r="V806" i="9"/>
  <c r="N811" i="9"/>
  <c r="Y811" i="9"/>
  <c r="H817" i="9"/>
  <c r="S817" i="9"/>
  <c r="F808" i="9"/>
  <c r="Q808" i="9"/>
  <c r="I813" i="9"/>
  <c r="T813" i="9"/>
  <c r="L818" i="9"/>
  <c r="W818" i="9"/>
  <c r="L815" i="9"/>
  <c r="W815" i="9"/>
  <c r="H803" i="9"/>
  <c r="S803" i="9"/>
  <c r="N813" i="9"/>
  <c r="Y813" i="9"/>
  <c r="H810" i="9"/>
  <c r="S810" i="9"/>
  <c r="H804" i="9"/>
  <c r="S804" i="9"/>
  <c r="I816" i="9"/>
  <c r="T816" i="9"/>
  <c r="M806" i="9"/>
  <c r="X806" i="9"/>
  <c r="I814" i="9"/>
  <c r="T814" i="9"/>
  <c r="I806" i="9"/>
  <c r="T806" i="9"/>
  <c r="I804" i="9"/>
  <c r="T804" i="9"/>
  <c r="K813" i="9"/>
  <c r="V813" i="9"/>
  <c r="G809" i="9"/>
  <c r="R809" i="9"/>
  <c r="N809" i="9"/>
  <c r="Y809" i="9"/>
  <c r="K810" i="9"/>
  <c r="V810" i="9"/>
  <c r="L808" i="9"/>
  <c r="W808" i="9"/>
  <c r="K816" i="9"/>
  <c r="V816" i="9"/>
  <c r="N803" i="9"/>
  <c r="Y803" i="9"/>
  <c r="K803" i="9"/>
  <c r="V803" i="9"/>
  <c r="O803" i="9"/>
  <c r="Z803" i="9"/>
  <c r="G806" i="9"/>
  <c r="R806" i="9"/>
  <c r="F812" i="9"/>
  <c r="Q812" i="9"/>
  <c r="N817" i="9"/>
  <c r="Y817" i="9"/>
  <c r="N806" i="9"/>
  <c r="Y806" i="9"/>
  <c r="L812" i="9"/>
  <c r="W812" i="9"/>
  <c r="K818" i="9"/>
  <c r="V818" i="9"/>
  <c r="O812" i="9"/>
  <c r="Z812" i="9"/>
  <c r="F809" i="9"/>
  <c r="Q809" i="9"/>
  <c r="F807" i="9"/>
  <c r="Q807" i="9"/>
  <c r="I805" i="9"/>
  <c r="T805" i="9"/>
  <c r="J812" i="9"/>
  <c r="U812" i="9"/>
  <c r="G813" i="9"/>
  <c r="R813" i="9"/>
  <c r="M812" i="9"/>
  <c r="X812" i="9"/>
  <c r="M818" i="9"/>
  <c r="X818" i="9"/>
  <c r="O811" i="9"/>
  <c r="Z811" i="9"/>
  <c r="H807" i="9"/>
  <c r="S807" i="9"/>
  <c r="K812" i="9"/>
  <c r="V812" i="9"/>
  <c r="J818" i="9"/>
  <c r="U818" i="9"/>
  <c r="N807" i="9"/>
  <c r="Y807" i="9"/>
  <c r="H813" i="9"/>
  <c r="S813" i="9"/>
  <c r="I803" i="9"/>
  <c r="T803" i="9"/>
  <c r="F815" i="9"/>
  <c r="Q815" i="9"/>
  <c r="G810" i="9"/>
  <c r="R810" i="9"/>
  <c r="H809" i="9"/>
  <c r="S809" i="9"/>
  <c r="L809" i="9"/>
  <c r="W809" i="9"/>
  <c r="K814" i="9"/>
  <c r="V814" i="9"/>
  <c r="K811" i="9"/>
  <c r="V811" i="9"/>
  <c r="K809" i="9"/>
  <c r="V809" i="9"/>
  <c r="I812" i="9"/>
  <c r="T812" i="9"/>
  <c r="M808" i="9"/>
  <c r="X808" i="9"/>
  <c r="J803" i="9"/>
  <c r="U803" i="9"/>
  <c r="I809" i="9"/>
  <c r="T809" i="9"/>
  <c r="L814" i="9"/>
  <c r="W814" i="9"/>
  <c r="G804" i="9"/>
  <c r="R804" i="9"/>
  <c r="F810" i="9"/>
  <c r="Q810" i="9"/>
  <c r="I815" i="9"/>
  <c r="T815" i="9"/>
  <c r="L807" i="9"/>
  <c r="W807" i="9"/>
  <c r="M803" i="9"/>
  <c r="X803" i="9"/>
  <c r="J814" i="9"/>
  <c r="U814" i="9"/>
  <c r="M817" i="9"/>
  <c r="X817" i="9"/>
  <c r="G818" i="9"/>
  <c r="R818" i="9"/>
  <c r="K808" i="9"/>
  <c r="V808" i="9"/>
  <c r="G805" i="9"/>
  <c r="R805" i="9"/>
  <c r="G817" i="9"/>
  <c r="R817" i="9"/>
  <c r="I810" i="9"/>
  <c r="T810" i="9"/>
  <c r="F804" i="9"/>
  <c r="Q804" i="9"/>
  <c r="M815" i="9"/>
  <c r="X815" i="9"/>
  <c r="L804" i="9"/>
  <c r="W804" i="9"/>
  <c r="J816" i="9"/>
  <c r="U816" i="9"/>
  <c r="N804" i="9"/>
  <c r="Y804" i="9"/>
  <c r="J806" i="9"/>
  <c r="U806" i="9"/>
  <c r="F817" i="9"/>
  <c r="Q817" i="9"/>
  <c r="O813" i="9"/>
  <c r="Z813" i="9"/>
  <c r="O607" i="9"/>
  <c r="Z607" i="9"/>
  <c r="H598" i="9"/>
  <c r="S598" i="9"/>
  <c r="J604" i="9"/>
  <c r="U604" i="9"/>
  <c r="L610" i="9"/>
  <c r="W610" i="9"/>
  <c r="I601" i="9"/>
  <c r="T601" i="9"/>
  <c r="H602" i="9"/>
  <c r="S602" i="9"/>
  <c r="I607" i="9"/>
  <c r="T607" i="9"/>
  <c r="J595" i="9"/>
  <c r="U595" i="9"/>
  <c r="N606" i="9"/>
  <c r="Y606" i="9"/>
  <c r="G610" i="9"/>
  <c r="R610" i="9"/>
  <c r="I606" i="9"/>
  <c r="T606" i="9"/>
  <c r="L596" i="9"/>
  <c r="W596" i="9"/>
  <c r="N602" i="9"/>
  <c r="Y602" i="9"/>
  <c r="F609" i="9"/>
  <c r="Q609" i="9"/>
  <c r="M599" i="9"/>
  <c r="X599" i="9"/>
  <c r="F599" i="9"/>
  <c r="Q599" i="9"/>
  <c r="O600" i="9"/>
  <c r="Z600" i="9"/>
  <c r="K608" i="9"/>
  <c r="V608" i="9"/>
  <c r="O609" i="9"/>
  <c r="Z609" i="9"/>
  <c r="I597" i="9"/>
  <c r="T597" i="9"/>
  <c r="G603" i="9"/>
  <c r="R603" i="9"/>
  <c r="M609" i="9"/>
  <c r="X609" i="9"/>
  <c r="L599" i="9"/>
  <c r="W599" i="9"/>
  <c r="N605" i="9"/>
  <c r="Y605" i="9"/>
  <c r="K596" i="9"/>
  <c r="V596" i="9"/>
  <c r="O608" i="9"/>
  <c r="Z608" i="9"/>
  <c r="H605" i="9"/>
  <c r="S605" i="9"/>
  <c r="G602" i="9"/>
  <c r="R602" i="9"/>
  <c r="H600" i="9"/>
  <c r="S600" i="9"/>
  <c r="O606" i="9"/>
  <c r="Z606" i="9"/>
  <c r="M610" i="9"/>
  <c r="X610" i="9"/>
  <c r="N607" i="9"/>
  <c r="Y607" i="9"/>
  <c r="O597" i="9"/>
  <c r="Z597" i="9"/>
  <c r="I605" i="9"/>
  <c r="T605" i="9"/>
  <c r="K601" i="9"/>
  <c r="V601" i="9"/>
  <c r="H604" i="9"/>
  <c r="S604" i="9"/>
  <c r="M605" i="9"/>
  <c r="X605" i="9"/>
  <c r="O598" i="9"/>
  <c r="Z598" i="9"/>
  <c r="L609" i="9"/>
  <c r="W609" i="9"/>
  <c r="K606" i="9"/>
  <c r="V606" i="9"/>
  <c r="L602" i="9"/>
  <c r="W602" i="9"/>
  <c r="K602" i="9"/>
  <c r="V602" i="9"/>
  <c r="M595" i="9"/>
  <c r="X595" i="9"/>
  <c r="J606" i="9"/>
  <c r="U606" i="9"/>
  <c r="I603" i="9"/>
  <c r="T603" i="9"/>
  <c r="J599" i="9"/>
  <c r="U599" i="9"/>
  <c r="G596" i="9"/>
  <c r="R596" i="9"/>
  <c r="F604" i="9"/>
  <c r="Q604" i="9"/>
  <c r="F608" i="9"/>
  <c r="Q608" i="9"/>
  <c r="J610" i="9"/>
  <c r="U610" i="9"/>
  <c r="I610" i="9"/>
  <c r="T610" i="9"/>
  <c r="K604" i="9"/>
  <c r="V604" i="9"/>
  <c r="G597" i="9"/>
  <c r="R597" i="9"/>
  <c r="M606" i="9"/>
  <c r="X606" i="9"/>
  <c r="M602" i="9"/>
  <c r="X602" i="9"/>
  <c r="G607" i="9"/>
  <c r="R607" i="9"/>
  <c r="F607" i="9"/>
  <c r="Q607" i="9"/>
  <c r="I598" i="9"/>
  <c r="T598" i="9"/>
  <c r="H597" i="9"/>
  <c r="S597" i="9"/>
  <c r="M598" i="9"/>
  <c r="X598" i="9"/>
  <c r="L608" i="9"/>
  <c r="W608" i="9"/>
  <c r="F595" i="9"/>
  <c r="Q595" i="9"/>
  <c r="J598" i="9"/>
  <c r="U598" i="9"/>
  <c r="L604" i="9"/>
  <c r="W604" i="9"/>
  <c r="N610" i="9"/>
  <c r="Y610" i="9"/>
  <c r="G601" i="9"/>
  <c r="R601" i="9"/>
  <c r="M607" i="9"/>
  <c r="X607" i="9"/>
  <c r="G599" i="9"/>
  <c r="R599" i="9"/>
  <c r="M600" i="9"/>
  <c r="X600" i="9"/>
  <c r="H608" i="9"/>
  <c r="S608" i="9"/>
  <c r="L600" i="9"/>
  <c r="W600" i="9"/>
  <c r="K600" i="9"/>
  <c r="V600" i="9"/>
  <c r="N596" i="9"/>
  <c r="Y596" i="9"/>
  <c r="F603" i="9"/>
  <c r="Q603" i="9"/>
  <c r="H609" i="9"/>
  <c r="S609" i="9"/>
  <c r="K599" i="9"/>
  <c r="V599" i="9"/>
  <c r="G606" i="9"/>
  <c r="R606" i="9"/>
  <c r="O595" i="9"/>
  <c r="Z595" i="9"/>
  <c r="H610" i="9"/>
  <c r="S610" i="9"/>
  <c r="F605" i="9"/>
  <c r="Q605" i="9"/>
  <c r="K610" i="9"/>
  <c r="V610" i="9"/>
  <c r="J600" i="9"/>
  <c r="U600" i="9"/>
  <c r="K609" i="9"/>
  <c r="V609" i="9"/>
  <c r="N599" i="9"/>
  <c r="Y599" i="9"/>
  <c r="F606" i="9"/>
  <c r="Q606" i="9"/>
  <c r="I596" i="9"/>
  <c r="T596" i="9"/>
  <c r="O602" i="9"/>
  <c r="Z602" i="9"/>
  <c r="J605" i="9"/>
  <c r="U605" i="9"/>
  <c r="J597" i="9"/>
  <c r="U597" i="9"/>
  <c r="L598" i="9"/>
  <c r="W598" i="9"/>
  <c r="M597" i="9"/>
  <c r="X597" i="9"/>
  <c r="L606" i="9"/>
  <c r="W606" i="9"/>
  <c r="O604" i="9"/>
  <c r="Z604" i="9"/>
  <c r="I599" i="9"/>
  <c r="T599" i="9"/>
  <c r="L601" i="9"/>
  <c r="W601" i="9"/>
  <c r="O610" i="9"/>
  <c r="Z610" i="9"/>
  <c r="K597" i="9"/>
  <c r="V597" i="9"/>
  <c r="L607" i="9"/>
  <c r="W607" i="9"/>
  <c r="N603" i="9"/>
  <c r="Y603" i="9"/>
  <c r="M604" i="9"/>
  <c r="X604" i="9"/>
  <c r="N595" i="9"/>
  <c r="Y595" i="9"/>
  <c r="J607" i="9"/>
  <c r="U607" i="9"/>
  <c r="L595" i="9"/>
  <c r="W595" i="9"/>
  <c r="K605" i="9"/>
  <c r="V605" i="9"/>
  <c r="N609" i="9"/>
  <c r="Y609" i="9"/>
  <c r="N601" i="9"/>
  <c r="Y601" i="9"/>
  <c r="G598" i="9"/>
  <c r="R598" i="9"/>
  <c r="I600" i="9"/>
  <c r="T600" i="9"/>
  <c r="I595" i="9"/>
  <c r="T595" i="9"/>
  <c r="G608" i="9"/>
  <c r="R608" i="9"/>
  <c r="F598" i="9"/>
  <c r="Q598" i="9"/>
  <c r="N608" i="9"/>
  <c r="Y608" i="9"/>
  <c r="F602" i="9"/>
  <c r="Q602" i="9"/>
  <c r="M603" i="9"/>
  <c r="X603" i="9"/>
  <c r="O599" i="9"/>
  <c r="Z599" i="9"/>
  <c r="J596" i="9"/>
  <c r="U596" i="9"/>
  <c r="L605" i="9"/>
  <c r="W605" i="9"/>
  <c r="N598" i="9"/>
  <c r="Y598" i="9"/>
  <c r="F610" i="9"/>
  <c r="Q610" i="9"/>
  <c r="M596" i="9"/>
  <c r="X596" i="9"/>
  <c r="G609" i="9"/>
  <c r="R609" i="9"/>
  <c r="H599" i="9"/>
  <c r="S599" i="9"/>
  <c r="I608" i="9"/>
  <c r="T608" i="9"/>
  <c r="J603" i="9"/>
  <c r="U603" i="9"/>
  <c r="F601" i="9"/>
  <c r="Q601" i="9"/>
  <c r="K598" i="9"/>
  <c r="V598" i="9"/>
  <c r="H595" i="9"/>
  <c r="S595" i="9"/>
  <c r="G604" i="9"/>
  <c r="R604" i="9"/>
  <c r="H601" i="9"/>
  <c r="S601" i="9"/>
  <c r="N604" i="9"/>
  <c r="Y604" i="9"/>
  <c r="G595" i="9"/>
  <c r="R595" i="9"/>
  <c r="M601" i="9"/>
  <c r="X601" i="9"/>
  <c r="K607" i="9"/>
  <c r="V607" i="9"/>
  <c r="N597" i="9"/>
  <c r="Y597" i="9"/>
  <c r="F596" i="9"/>
  <c r="Q596" i="9"/>
  <c r="H607" i="9"/>
  <c r="S607" i="9"/>
  <c r="G605" i="9"/>
  <c r="R605" i="9"/>
  <c r="L597" i="9"/>
  <c r="W597" i="9"/>
  <c r="L603" i="9"/>
  <c r="W603" i="9"/>
  <c r="H603" i="9"/>
  <c r="S603" i="9"/>
  <c r="J609" i="9"/>
  <c r="U609" i="9"/>
  <c r="G600" i="9"/>
  <c r="R600" i="9"/>
  <c r="O605" i="9"/>
  <c r="Z605" i="9"/>
  <c r="H596" i="9"/>
  <c r="S596" i="9"/>
  <c r="M608" i="9"/>
  <c r="X608" i="9"/>
  <c r="N600" i="9"/>
  <c r="Y600" i="9"/>
  <c r="O601" i="9"/>
  <c r="Z601" i="9"/>
  <c r="O603" i="9"/>
  <c r="Z603" i="9"/>
  <c r="F600" i="9"/>
  <c r="Q600" i="9"/>
  <c r="H606" i="9"/>
  <c r="S606" i="9"/>
  <c r="O596" i="9"/>
  <c r="Z596" i="9"/>
  <c r="I609" i="9"/>
  <c r="T609" i="9"/>
  <c r="I602" i="9"/>
  <c r="T602" i="9"/>
  <c r="K595" i="9"/>
  <c r="V595" i="9"/>
  <c r="F597" i="9"/>
  <c r="Q597" i="9"/>
  <c r="J602" i="9"/>
  <c r="U602" i="9"/>
  <c r="I604" i="9"/>
  <c r="T604" i="9"/>
  <c r="J601" i="9"/>
  <c r="U601" i="9"/>
  <c r="K603" i="9"/>
  <c r="V603" i="9"/>
  <c r="J608" i="9"/>
  <c r="U608" i="9"/>
  <c r="J357" i="9"/>
  <c r="U357" i="9"/>
  <c r="H358" i="9"/>
  <c r="S358" i="9"/>
  <c r="K360" i="9"/>
  <c r="V360" i="9"/>
  <c r="M366" i="9"/>
  <c r="X366" i="9"/>
  <c r="N362" i="9"/>
  <c r="Y362" i="9"/>
  <c r="G360" i="9"/>
  <c r="R360" i="9"/>
  <c r="I366" i="9"/>
  <c r="T366" i="9"/>
  <c r="F358" i="9"/>
  <c r="Q358" i="9"/>
  <c r="M368" i="9"/>
  <c r="X368" i="9"/>
  <c r="I362" i="9"/>
  <c r="T362" i="9"/>
  <c r="L368" i="9"/>
  <c r="W368" i="9"/>
  <c r="H366" i="9"/>
  <c r="S366" i="9"/>
  <c r="I365" i="9"/>
  <c r="T365" i="9"/>
  <c r="L355" i="9"/>
  <c r="W355" i="9"/>
  <c r="K356" i="9"/>
  <c r="V356" i="9"/>
  <c r="O364" i="9"/>
  <c r="Z364" i="9"/>
  <c r="H355" i="9"/>
  <c r="S355" i="9"/>
  <c r="L367" i="9"/>
  <c r="W367" i="9"/>
  <c r="G359" i="9"/>
  <c r="R359" i="9"/>
  <c r="O368" i="9"/>
  <c r="Z368" i="9"/>
  <c r="H370" i="9"/>
  <c r="S370" i="9"/>
  <c r="N367" i="9"/>
  <c r="Y367" i="9"/>
  <c r="M363" i="9"/>
  <c r="X363" i="9"/>
  <c r="O369" i="9"/>
  <c r="Z369" i="9"/>
  <c r="H369" i="9"/>
  <c r="S369" i="9"/>
  <c r="I363" i="9"/>
  <c r="T363" i="9"/>
  <c r="K369" i="9"/>
  <c r="V369" i="9"/>
  <c r="J364" i="9"/>
  <c r="U364" i="9"/>
  <c r="K362" i="9"/>
  <c r="V362" i="9"/>
  <c r="G356" i="9"/>
  <c r="R356" i="9"/>
  <c r="N355" i="9"/>
  <c r="Y355" i="9"/>
  <c r="J369" i="9"/>
  <c r="U369" i="9"/>
  <c r="G362" i="9"/>
  <c r="R362" i="9"/>
  <c r="I368" i="9"/>
  <c r="T368" i="9"/>
  <c r="F366" i="9"/>
  <c r="Q366" i="9"/>
  <c r="M361" i="9"/>
  <c r="X361" i="9"/>
  <c r="O367" i="9"/>
  <c r="Z367" i="9"/>
  <c r="H361" i="9"/>
  <c r="S361" i="9"/>
  <c r="L365" i="9"/>
  <c r="W365" i="9"/>
  <c r="H359" i="9"/>
  <c r="S359" i="9"/>
  <c r="H356" i="9"/>
  <c r="S356" i="9"/>
  <c r="L363" i="9"/>
  <c r="W363" i="9"/>
  <c r="N365" i="9"/>
  <c r="Y365" i="9"/>
  <c r="M367" i="9"/>
  <c r="X367" i="9"/>
  <c r="H367" i="9"/>
  <c r="S367" i="9"/>
  <c r="J367" i="9"/>
  <c r="U367" i="9"/>
  <c r="J368" i="9"/>
  <c r="U368" i="9"/>
  <c r="M362" i="9"/>
  <c r="X362" i="9"/>
  <c r="I358" i="9"/>
  <c r="T358" i="9"/>
  <c r="K370" i="9"/>
  <c r="V370" i="9"/>
  <c r="F369" i="9"/>
  <c r="Q369" i="9"/>
  <c r="N366" i="9"/>
  <c r="Y366" i="9"/>
  <c r="K359" i="9"/>
  <c r="V359" i="9"/>
  <c r="M356" i="9"/>
  <c r="X356" i="9"/>
  <c r="G364" i="9"/>
  <c r="R364" i="9"/>
  <c r="L370" i="9"/>
  <c r="W370" i="9"/>
  <c r="H365" i="9"/>
  <c r="S365" i="9"/>
  <c r="I356" i="9"/>
  <c r="T356" i="9"/>
  <c r="O370" i="9"/>
  <c r="Z370" i="9"/>
  <c r="M357" i="9"/>
  <c r="X357" i="9"/>
  <c r="N363" i="9"/>
  <c r="Y363" i="9"/>
  <c r="N359" i="9"/>
  <c r="Y359" i="9"/>
  <c r="F370" i="9"/>
  <c r="Q370" i="9"/>
  <c r="I360" i="9"/>
  <c r="T360" i="9"/>
  <c r="O365" i="9"/>
  <c r="Z365" i="9"/>
  <c r="L369" i="9"/>
  <c r="W369" i="9"/>
  <c r="O359" i="9"/>
  <c r="Z359" i="9"/>
  <c r="G361" i="9"/>
  <c r="R361" i="9"/>
  <c r="G367" i="9"/>
  <c r="R367" i="9"/>
  <c r="M360" i="9"/>
  <c r="X360" i="9"/>
  <c r="F359" i="9"/>
  <c r="Q359" i="9"/>
  <c r="L366" i="9"/>
  <c r="W366" i="9"/>
  <c r="O358" i="9"/>
  <c r="Z358" i="9"/>
  <c r="G365" i="9"/>
  <c r="R365" i="9"/>
  <c r="L359" i="9"/>
  <c r="W359" i="9"/>
  <c r="K358" i="9"/>
  <c r="V358" i="9"/>
  <c r="M364" i="9"/>
  <c r="X364" i="9"/>
  <c r="M370" i="9"/>
  <c r="X370" i="9"/>
  <c r="O355" i="9"/>
  <c r="Z355" i="9"/>
  <c r="O360" i="9"/>
  <c r="Z360" i="9"/>
  <c r="L360" i="9"/>
  <c r="W360" i="9"/>
  <c r="J361" i="9"/>
  <c r="U361" i="9"/>
  <c r="I357" i="9"/>
  <c r="T357" i="9"/>
  <c r="K363" i="9"/>
  <c r="V363" i="9"/>
  <c r="J356" i="9"/>
  <c r="U356" i="9"/>
  <c r="O356" i="9"/>
  <c r="Z356" i="9"/>
  <c r="G363" i="9"/>
  <c r="R363" i="9"/>
  <c r="K367" i="9"/>
  <c r="V367" i="9"/>
  <c r="I367" i="9"/>
  <c r="T367" i="9"/>
  <c r="J370" i="9"/>
  <c r="U370" i="9"/>
  <c r="H362" i="9"/>
  <c r="S362" i="9"/>
  <c r="L356" i="9"/>
  <c r="W356" i="9"/>
  <c r="M355" i="9"/>
  <c r="X355" i="9"/>
  <c r="O361" i="9"/>
  <c r="Z361" i="9"/>
  <c r="G369" i="9"/>
  <c r="R369" i="9"/>
  <c r="I355" i="9"/>
  <c r="T355" i="9"/>
  <c r="K361" i="9"/>
  <c r="V361" i="9"/>
  <c r="I364" i="9"/>
  <c r="T364" i="9"/>
  <c r="F364" i="9"/>
  <c r="Q364" i="9"/>
  <c r="L357" i="9"/>
  <c r="W357" i="9"/>
  <c r="L358" i="9"/>
  <c r="W358" i="9"/>
  <c r="F363" i="9"/>
  <c r="Q363" i="9"/>
  <c r="J365" i="9"/>
  <c r="U365" i="9"/>
  <c r="H363" i="9"/>
  <c r="S363" i="9"/>
  <c r="I359" i="9"/>
  <c r="T359" i="9"/>
  <c r="G355" i="9"/>
  <c r="R355" i="9"/>
  <c r="H368" i="9"/>
  <c r="S368" i="9"/>
  <c r="M358" i="9"/>
  <c r="X358" i="9"/>
  <c r="F368" i="9"/>
  <c r="Q368" i="9"/>
  <c r="O357" i="9"/>
  <c r="Z357" i="9"/>
  <c r="J355" i="9"/>
  <c r="U355" i="9"/>
  <c r="F355" i="9"/>
  <c r="Q355" i="9"/>
  <c r="G357" i="9"/>
  <c r="R357" i="9"/>
  <c r="J366" i="9"/>
  <c r="U366" i="9"/>
  <c r="F365" i="9"/>
  <c r="Q365" i="9"/>
  <c r="F357" i="9"/>
  <c r="Q357" i="9"/>
  <c r="N369" i="9"/>
  <c r="Y369" i="9"/>
  <c r="K355" i="9"/>
  <c r="V355" i="9"/>
  <c r="N364" i="9"/>
  <c r="Y364" i="9"/>
  <c r="M365" i="9"/>
  <c r="X365" i="9"/>
  <c r="O366" i="9"/>
  <c r="Z366" i="9"/>
  <c r="I369" i="9"/>
  <c r="T369" i="9"/>
  <c r="G370" i="9"/>
  <c r="R370" i="9"/>
  <c r="J363" i="9"/>
  <c r="U363" i="9"/>
  <c r="F356" i="9"/>
  <c r="Q356" i="9"/>
  <c r="H357" i="9"/>
  <c r="S357" i="9"/>
  <c r="N370" i="9"/>
  <c r="Y370" i="9"/>
  <c r="N357" i="9"/>
  <c r="Y357" i="9"/>
  <c r="H364" i="9"/>
  <c r="S364" i="9"/>
  <c r="N360" i="9"/>
  <c r="Y360" i="9"/>
  <c r="J360" i="9"/>
  <c r="U360" i="9"/>
  <c r="I361" i="9"/>
  <c r="T361" i="9"/>
  <c r="F361" i="9"/>
  <c r="Q361" i="9"/>
  <c r="G368" i="9"/>
  <c r="R368" i="9"/>
  <c r="O363" i="9"/>
  <c r="Z363" i="9"/>
  <c r="F367" i="9"/>
  <c r="Q367" i="9"/>
  <c r="M359" i="9"/>
  <c r="X359" i="9"/>
  <c r="K365" i="9"/>
  <c r="V365" i="9"/>
  <c r="L364" i="9"/>
  <c r="W364" i="9"/>
  <c r="L361" i="9"/>
  <c r="W361" i="9"/>
  <c r="N361" i="9"/>
  <c r="Y361" i="9"/>
  <c r="G366" i="9"/>
  <c r="R366" i="9"/>
  <c r="J362" i="9"/>
  <c r="U362" i="9"/>
  <c r="K368" i="9"/>
  <c r="V368" i="9"/>
  <c r="J358" i="9"/>
  <c r="U358" i="9"/>
  <c r="L362" i="9"/>
  <c r="W362" i="9"/>
  <c r="K366" i="9"/>
  <c r="V366" i="9"/>
  <c r="K357" i="9"/>
  <c r="V357" i="9"/>
  <c r="F362" i="9"/>
  <c r="Q362" i="9"/>
  <c r="K364" i="9"/>
  <c r="V364" i="9"/>
  <c r="J359" i="9"/>
  <c r="U359" i="9"/>
  <c r="M369" i="9"/>
  <c r="X369" i="9"/>
  <c r="I370" i="9"/>
  <c r="T370" i="9"/>
  <c r="N358" i="9"/>
  <c r="Y358" i="9"/>
  <c r="G358" i="9"/>
  <c r="R358" i="9"/>
  <c r="N356" i="9"/>
  <c r="Y356" i="9"/>
  <c r="H360" i="9"/>
  <c r="S360" i="9"/>
  <c r="N368" i="9"/>
  <c r="Y368" i="9"/>
  <c r="F360" i="9"/>
  <c r="Q360" i="9"/>
  <c r="O362" i="9"/>
  <c r="Z362" i="9"/>
  <c r="H408" i="9"/>
  <c r="S408" i="9"/>
  <c r="L414" i="9"/>
  <c r="W414" i="9"/>
  <c r="F407" i="9"/>
  <c r="Q407" i="9"/>
  <c r="J413" i="9"/>
  <c r="U413" i="9"/>
  <c r="H406" i="9"/>
  <c r="S406" i="9"/>
  <c r="J407" i="9"/>
  <c r="U407" i="9"/>
  <c r="N407" i="9"/>
  <c r="Y407" i="9"/>
  <c r="F409" i="9"/>
  <c r="Q409" i="9"/>
  <c r="J415" i="9"/>
  <c r="U415" i="9"/>
  <c r="H413" i="9"/>
  <c r="S413" i="9"/>
  <c r="N406" i="9"/>
  <c r="Y406" i="9"/>
  <c r="K418" i="9"/>
  <c r="V418" i="9"/>
  <c r="G412" i="9"/>
  <c r="R412" i="9"/>
  <c r="M405" i="9"/>
  <c r="X405" i="9"/>
  <c r="G415" i="9"/>
  <c r="R415" i="9"/>
  <c r="M408" i="9"/>
  <c r="X408" i="9"/>
  <c r="N410" i="9"/>
  <c r="Y410" i="9"/>
  <c r="M409" i="9"/>
  <c r="X409" i="9"/>
  <c r="M412" i="9"/>
  <c r="X412" i="9"/>
  <c r="F416" i="9"/>
  <c r="Q416" i="9"/>
  <c r="L409" i="9"/>
  <c r="W409" i="9"/>
  <c r="H403" i="9"/>
  <c r="S403" i="9"/>
  <c r="O414" i="9"/>
  <c r="Z414" i="9"/>
  <c r="K408" i="9"/>
  <c r="V408" i="9"/>
  <c r="O417" i="9"/>
  <c r="Z417" i="9"/>
  <c r="G403" i="9"/>
  <c r="R403" i="9"/>
  <c r="J411" i="9"/>
  <c r="U411" i="9"/>
  <c r="J405" i="9"/>
  <c r="U405" i="9"/>
  <c r="F415" i="9"/>
  <c r="Q415" i="9"/>
  <c r="L412" i="9"/>
  <c r="W412" i="9"/>
  <c r="F417" i="9"/>
  <c r="Q417" i="9"/>
  <c r="N405" i="9"/>
  <c r="Y405" i="9"/>
  <c r="J416" i="9"/>
  <c r="U416" i="9"/>
  <c r="J408" i="9"/>
  <c r="U408" i="9"/>
  <c r="O416" i="9"/>
  <c r="Z416" i="9"/>
  <c r="O408" i="9"/>
  <c r="Z408" i="9"/>
  <c r="M416" i="9"/>
  <c r="X416" i="9"/>
  <c r="G407" i="9"/>
  <c r="R407" i="9"/>
  <c r="G416" i="9"/>
  <c r="R416" i="9"/>
  <c r="O415" i="9"/>
  <c r="Z415" i="9"/>
  <c r="J414" i="9"/>
  <c r="U414" i="9"/>
  <c r="J406" i="9"/>
  <c r="U406" i="9"/>
  <c r="K416" i="9"/>
  <c r="V416" i="9"/>
  <c r="O406" i="9"/>
  <c r="Z406" i="9"/>
  <c r="M414" i="9"/>
  <c r="X414" i="9"/>
  <c r="I408" i="9"/>
  <c r="T408" i="9"/>
  <c r="N418" i="9"/>
  <c r="Y418" i="9"/>
  <c r="J412" i="9"/>
  <c r="U412" i="9"/>
  <c r="J404" i="9"/>
  <c r="U404" i="9"/>
  <c r="I411" i="9"/>
  <c r="T411" i="9"/>
  <c r="I414" i="9"/>
  <c r="T414" i="9"/>
  <c r="J418" i="9"/>
  <c r="U418" i="9"/>
  <c r="O410" i="9"/>
  <c r="Z410" i="9"/>
  <c r="H404" i="9"/>
  <c r="S404" i="9"/>
  <c r="O418" i="9"/>
  <c r="Z418" i="9"/>
  <c r="N416" i="9"/>
  <c r="Y416" i="9"/>
  <c r="I409" i="9"/>
  <c r="T409" i="9"/>
  <c r="H415" i="9"/>
  <c r="S415" i="9"/>
  <c r="M410" i="9"/>
  <c r="X410" i="9"/>
  <c r="F405" i="9"/>
  <c r="Q405" i="9"/>
  <c r="H416" i="9"/>
  <c r="S416" i="9"/>
  <c r="N411" i="9"/>
  <c r="Y411" i="9"/>
  <c r="N415" i="9"/>
  <c r="Y415" i="9"/>
  <c r="H414" i="9"/>
  <c r="S414" i="9"/>
  <c r="F418" i="9"/>
  <c r="Q418" i="9"/>
  <c r="H405" i="9"/>
  <c r="S405" i="9"/>
  <c r="M413" i="9"/>
  <c r="X413" i="9"/>
  <c r="I418" i="9"/>
  <c r="T418" i="9"/>
  <c r="K405" i="9"/>
  <c r="V405" i="9"/>
  <c r="K406" i="9"/>
  <c r="V406" i="9"/>
  <c r="L417" i="9"/>
  <c r="W417" i="9"/>
  <c r="N404" i="9"/>
  <c r="Y404" i="9"/>
  <c r="M411" i="9"/>
  <c r="X411" i="9"/>
  <c r="I416" i="9"/>
  <c r="T416" i="9"/>
  <c r="M406" i="9"/>
  <c r="X406" i="9"/>
  <c r="L415" i="9"/>
  <c r="W415" i="9"/>
  <c r="F406" i="9"/>
  <c r="Q406" i="9"/>
  <c r="G408" i="9"/>
  <c r="R408" i="9"/>
  <c r="O407" i="9"/>
  <c r="Z407" i="9"/>
  <c r="I417" i="9"/>
  <c r="T417" i="9"/>
  <c r="G417" i="9"/>
  <c r="R417" i="9"/>
  <c r="K415" i="9"/>
  <c r="V415" i="9"/>
  <c r="M415" i="9"/>
  <c r="X415" i="9"/>
  <c r="N408" i="9"/>
  <c r="Y408" i="9"/>
  <c r="G406" i="9"/>
  <c r="R406" i="9"/>
  <c r="L406" i="9"/>
  <c r="W406" i="9"/>
  <c r="J409" i="9"/>
  <c r="U409" i="9"/>
  <c r="L411" i="9"/>
  <c r="W411" i="9"/>
  <c r="K413" i="9"/>
  <c r="V413" i="9"/>
  <c r="I406" i="9"/>
  <c r="T406" i="9"/>
  <c r="I405" i="9"/>
  <c r="T405" i="9"/>
  <c r="F414" i="9"/>
  <c r="Q414" i="9"/>
  <c r="G411" i="9"/>
  <c r="R411" i="9"/>
  <c r="F404" i="9"/>
  <c r="Q404" i="9"/>
  <c r="F413" i="9"/>
  <c r="Q413" i="9"/>
  <c r="L416" i="9"/>
  <c r="W416" i="9"/>
  <c r="N413" i="9"/>
  <c r="Y413" i="9"/>
  <c r="H412" i="9"/>
  <c r="S412" i="9"/>
  <c r="L403" i="9"/>
  <c r="W403" i="9"/>
  <c r="I407" i="9"/>
  <c r="T407" i="9"/>
  <c r="I410" i="9"/>
  <c r="T410" i="9"/>
  <c r="I403" i="9"/>
  <c r="T403" i="9"/>
  <c r="H411" i="9"/>
  <c r="S411" i="9"/>
  <c r="I413" i="9"/>
  <c r="T413" i="9"/>
  <c r="G413" i="9"/>
  <c r="R413" i="9"/>
  <c r="K403" i="9"/>
  <c r="V403" i="9"/>
  <c r="L407" i="9"/>
  <c r="W407" i="9"/>
  <c r="O404" i="9"/>
  <c r="Z404" i="9"/>
  <c r="F412" i="9"/>
  <c r="Q412" i="9"/>
  <c r="K407" i="9"/>
  <c r="V407" i="9"/>
  <c r="G409" i="9"/>
  <c r="R409" i="9"/>
  <c r="I412" i="9"/>
  <c r="T412" i="9"/>
  <c r="I404" i="9"/>
  <c r="T404" i="9"/>
  <c r="N417" i="9"/>
  <c r="Y417" i="9"/>
  <c r="H418" i="9"/>
  <c r="S418" i="9"/>
  <c r="F411" i="9"/>
  <c r="Q411" i="9"/>
  <c r="N414" i="9"/>
  <c r="Y414" i="9"/>
  <c r="N403" i="9"/>
  <c r="Y403" i="9"/>
  <c r="G404" i="9"/>
  <c r="R404" i="9"/>
  <c r="O403" i="9"/>
  <c r="Z403" i="9"/>
  <c r="K409" i="9"/>
  <c r="V409" i="9"/>
  <c r="F408" i="9"/>
  <c r="Q408" i="9"/>
  <c r="G410" i="9"/>
  <c r="R410" i="9"/>
  <c r="K411" i="9"/>
  <c r="V411" i="9"/>
  <c r="H417" i="9"/>
  <c r="S417" i="9"/>
  <c r="F403" i="9"/>
  <c r="Q403" i="9"/>
  <c r="K417" i="9"/>
  <c r="V417" i="9"/>
  <c r="L405" i="9"/>
  <c r="W405" i="9"/>
  <c r="L413" i="9"/>
  <c r="W413" i="9"/>
  <c r="J410" i="9"/>
  <c r="U410" i="9"/>
  <c r="O405" i="9"/>
  <c r="Z405" i="9"/>
  <c r="L408" i="9"/>
  <c r="W408" i="9"/>
  <c r="J417" i="9"/>
  <c r="U417" i="9"/>
  <c r="I415" i="9"/>
  <c r="T415" i="9"/>
  <c r="L404" i="9"/>
  <c r="W404" i="9"/>
  <c r="J403" i="9"/>
  <c r="U403" i="9"/>
  <c r="O409" i="9"/>
  <c r="Z409" i="9"/>
  <c r="M417" i="9"/>
  <c r="X417" i="9"/>
  <c r="K404" i="9"/>
  <c r="V404" i="9"/>
  <c r="H407" i="9"/>
  <c r="S407" i="9"/>
  <c r="G414" i="9"/>
  <c r="R414" i="9"/>
  <c r="N409" i="9"/>
  <c r="Y409" i="9"/>
  <c r="F410" i="9"/>
  <c r="Q410" i="9"/>
  <c r="N412" i="9"/>
  <c r="Y412" i="9"/>
  <c r="H409" i="9"/>
  <c r="S409" i="9"/>
  <c r="K412" i="9"/>
  <c r="V412" i="9"/>
  <c r="O411" i="9"/>
  <c r="Z411" i="9"/>
  <c r="M404" i="9"/>
  <c r="X404" i="9"/>
  <c r="L418" i="9"/>
  <c r="W418" i="9"/>
  <c r="O412" i="9"/>
  <c r="Z412" i="9"/>
  <c r="G405" i="9"/>
  <c r="R405" i="9"/>
  <c r="O413" i="9"/>
  <c r="Z413" i="9"/>
  <c r="H410" i="9"/>
  <c r="S410" i="9"/>
  <c r="K410" i="9"/>
  <c r="V410" i="9"/>
  <c r="G418" i="9"/>
  <c r="R418" i="9"/>
  <c r="K414" i="9"/>
  <c r="V414" i="9"/>
  <c r="M418" i="9"/>
  <c r="X418" i="9"/>
  <c r="L410" i="9"/>
  <c r="W410" i="9"/>
  <c r="M403" i="9"/>
  <c r="X403" i="9"/>
  <c r="M407" i="9"/>
  <c r="X407" i="9"/>
  <c r="F275" i="9"/>
  <c r="Q275" i="9"/>
  <c r="K282" i="9"/>
  <c r="V282" i="9"/>
  <c r="O279" i="9"/>
  <c r="Z279" i="9"/>
  <c r="F279" i="9"/>
  <c r="Q279" i="9"/>
  <c r="N287" i="9"/>
  <c r="Y287" i="9"/>
  <c r="G289" i="9"/>
  <c r="R289" i="9"/>
  <c r="H288" i="9"/>
  <c r="S288" i="9"/>
  <c r="G287" i="9"/>
  <c r="R287" i="9"/>
  <c r="G277" i="9"/>
  <c r="R277" i="9"/>
  <c r="N277" i="9"/>
  <c r="Y277" i="9"/>
  <c r="G286" i="9"/>
  <c r="R286" i="9"/>
  <c r="O280" i="9"/>
  <c r="Z280" i="9"/>
  <c r="I278" i="9"/>
  <c r="T278" i="9"/>
  <c r="J277" i="9"/>
  <c r="U277" i="9"/>
  <c r="L284" i="9"/>
  <c r="W284" i="9"/>
  <c r="K287" i="9"/>
  <c r="V287" i="9"/>
  <c r="L286" i="9"/>
  <c r="W286" i="9"/>
  <c r="O283" i="9"/>
  <c r="Z283" i="9"/>
  <c r="N282" i="9"/>
  <c r="Y282" i="9"/>
  <c r="K284" i="9"/>
  <c r="V284" i="9"/>
  <c r="M287" i="9"/>
  <c r="X287" i="9"/>
  <c r="I279" i="9"/>
  <c r="T279" i="9"/>
  <c r="M276" i="9"/>
  <c r="X276" i="9"/>
  <c r="N275" i="9"/>
  <c r="Y275" i="9"/>
  <c r="J281" i="9"/>
  <c r="U281" i="9"/>
  <c r="O285" i="9"/>
  <c r="Z285" i="9"/>
  <c r="F285" i="9"/>
  <c r="Q285" i="9"/>
  <c r="M280" i="9"/>
  <c r="X280" i="9"/>
  <c r="F289" i="9"/>
  <c r="Q289" i="9"/>
  <c r="G278" i="9"/>
  <c r="R278" i="9"/>
  <c r="I289" i="9"/>
  <c r="T289" i="9"/>
  <c r="M277" i="9"/>
  <c r="X277" i="9"/>
  <c r="G275" i="9"/>
  <c r="R275" i="9"/>
  <c r="I283" i="9"/>
  <c r="T283" i="9"/>
  <c r="H278" i="9"/>
  <c r="S278" i="9"/>
  <c r="I284" i="9"/>
  <c r="T284" i="9"/>
  <c r="J283" i="9"/>
  <c r="U283" i="9"/>
  <c r="K277" i="9"/>
  <c r="V277" i="9"/>
  <c r="L282" i="9"/>
  <c r="W282" i="9"/>
  <c r="J284" i="9"/>
  <c r="U284" i="9"/>
  <c r="O286" i="9"/>
  <c r="Z286" i="9"/>
  <c r="J280" i="9"/>
  <c r="U280" i="9"/>
  <c r="M288" i="9"/>
  <c r="X288" i="9"/>
  <c r="O278" i="9"/>
  <c r="Z278" i="9"/>
  <c r="J275" i="9"/>
  <c r="U275" i="9"/>
  <c r="H289" i="9"/>
  <c r="S289" i="9"/>
  <c r="G290" i="9"/>
  <c r="R290" i="9"/>
  <c r="H290" i="9"/>
  <c r="S290" i="9"/>
  <c r="I277" i="9"/>
  <c r="T277" i="9"/>
  <c r="O284" i="9"/>
  <c r="Z284" i="9"/>
  <c r="N285" i="9"/>
  <c r="Y285" i="9"/>
  <c r="K288" i="9"/>
  <c r="V288" i="9"/>
  <c r="L288" i="9"/>
  <c r="W288" i="9"/>
  <c r="M275" i="9"/>
  <c r="X275" i="9"/>
  <c r="M281" i="9"/>
  <c r="X281" i="9"/>
  <c r="I281" i="9"/>
  <c r="T281" i="9"/>
  <c r="O288" i="9"/>
  <c r="Z288" i="9"/>
  <c r="F287" i="9"/>
  <c r="Q287" i="9"/>
  <c r="N288" i="9"/>
  <c r="Y288" i="9"/>
  <c r="G280" i="9"/>
  <c r="R280" i="9"/>
  <c r="J290" i="9"/>
  <c r="U290" i="9"/>
  <c r="O290" i="9"/>
  <c r="Z290" i="9"/>
  <c r="G276" i="9"/>
  <c r="R276" i="9"/>
  <c r="F288" i="9"/>
  <c r="Q288" i="9"/>
  <c r="K278" i="9"/>
  <c r="V278" i="9"/>
  <c r="I285" i="9"/>
  <c r="T285" i="9"/>
  <c r="M282" i="9"/>
  <c r="X282" i="9"/>
  <c r="N281" i="9"/>
  <c r="Y281" i="9"/>
  <c r="F290" i="9"/>
  <c r="Q290" i="9"/>
  <c r="H276" i="9"/>
  <c r="S276" i="9"/>
  <c r="I288" i="9"/>
  <c r="T288" i="9"/>
  <c r="K286" i="9"/>
  <c r="V286" i="9"/>
  <c r="L289" i="9"/>
  <c r="W289" i="9"/>
  <c r="N284" i="9"/>
  <c r="Y284" i="9"/>
  <c r="I275" i="9"/>
  <c r="T275" i="9"/>
  <c r="M283" i="9"/>
  <c r="X283" i="9"/>
  <c r="G281" i="9"/>
  <c r="R281" i="9"/>
  <c r="H280" i="9"/>
  <c r="S280" i="9"/>
  <c r="L283" i="9"/>
  <c r="W283" i="9"/>
  <c r="K276" i="9"/>
  <c r="V276" i="9"/>
  <c r="O281" i="9"/>
  <c r="Z281" i="9"/>
  <c r="G288" i="9"/>
  <c r="R288" i="9"/>
  <c r="N286" i="9"/>
  <c r="Y286" i="9"/>
  <c r="F282" i="9"/>
  <c r="Q282" i="9"/>
  <c r="H285" i="9"/>
  <c r="S285" i="9"/>
  <c r="G282" i="9"/>
  <c r="R282" i="9"/>
  <c r="K279" i="9"/>
  <c r="V279" i="9"/>
  <c r="L278" i="9"/>
  <c r="W278" i="9"/>
  <c r="L277" i="9"/>
  <c r="W277" i="9"/>
  <c r="N280" i="9"/>
  <c r="Y280" i="9"/>
  <c r="K275" i="9"/>
  <c r="V275" i="9"/>
  <c r="M289" i="9"/>
  <c r="X289" i="9"/>
  <c r="H283" i="9"/>
  <c r="S283" i="9"/>
  <c r="N278" i="9"/>
  <c r="Y278" i="9"/>
  <c r="F278" i="9"/>
  <c r="Q278" i="9"/>
  <c r="K280" i="9"/>
  <c r="V280" i="9"/>
  <c r="O277" i="9"/>
  <c r="Z277" i="9"/>
  <c r="F277" i="9"/>
  <c r="Q277" i="9"/>
  <c r="J289" i="9"/>
  <c r="U289" i="9"/>
  <c r="I280" i="9"/>
  <c r="T280" i="9"/>
  <c r="H279" i="9"/>
  <c r="S279" i="9"/>
  <c r="J276" i="9"/>
  <c r="U276" i="9"/>
  <c r="I276" i="9"/>
  <c r="T276" i="9"/>
  <c r="H286" i="9"/>
  <c r="S286" i="9"/>
  <c r="J287" i="9"/>
  <c r="U287" i="9"/>
  <c r="H275" i="9"/>
  <c r="S275" i="9"/>
  <c r="K285" i="9"/>
  <c r="V285" i="9"/>
  <c r="N290" i="9"/>
  <c r="Y290" i="9"/>
  <c r="F283" i="9"/>
  <c r="Q283" i="9"/>
  <c r="F281" i="9"/>
  <c r="Q281" i="9"/>
  <c r="K289" i="9"/>
  <c r="V289" i="9"/>
  <c r="I282" i="9"/>
  <c r="T282" i="9"/>
  <c r="H287" i="9"/>
  <c r="S287" i="9"/>
  <c r="N279" i="9"/>
  <c r="Y279" i="9"/>
  <c r="O282" i="9"/>
  <c r="Z282" i="9"/>
  <c r="O287" i="9"/>
  <c r="Z287" i="9"/>
  <c r="G279" i="9"/>
  <c r="R279" i="9"/>
  <c r="F284" i="9"/>
  <c r="Q284" i="9"/>
  <c r="L276" i="9"/>
  <c r="W276" i="9"/>
  <c r="M286" i="9"/>
  <c r="X286" i="9"/>
  <c r="K281" i="9"/>
  <c r="V281" i="9"/>
  <c r="I287" i="9"/>
  <c r="T287" i="9"/>
  <c r="F286" i="9"/>
  <c r="Q286" i="9"/>
  <c r="H277" i="9"/>
  <c r="S277" i="9"/>
  <c r="N283" i="9"/>
  <c r="Y283" i="9"/>
  <c r="J288" i="9"/>
  <c r="U288" i="9"/>
  <c r="M285" i="9"/>
  <c r="X285" i="9"/>
  <c r="F280" i="9"/>
  <c r="Q280" i="9"/>
  <c r="L285" i="9"/>
  <c r="W285" i="9"/>
  <c r="L280" i="9"/>
  <c r="W280" i="9"/>
  <c r="I290" i="9"/>
  <c r="T290" i="9"/>
  <c r="I286" i="9"/>
  <c r="T286" i="9"/>
  <c r="L281" i="9"/>
  <c r="W281" i="9"/>
  <c r="N276" i="9"/>
  <c r="Y276" i="9"/>
  <c r="J286" i="9"/>
  <c r="U286" i="9"/>
  <c r="L287" i="9"/>
  <c r="W287" i="9"/>
  <c r="G283" i="9"/>
  <c r="R283" i="9"/>
  <c r="F276" i="9"/>
  <c r="Q276" i="9"/>
  <c r="G285" i="9"/>
  <c r="R285" i="9"/>
  <c r="L275" i="9"/>
  <c r="W275" i="9"/>
  <c r="K283" i="9"/>
  <c r="V283" i="9"/>
  <c r="J285" i="9"/>
  <c r="U285" i="9"/>
  <c r="O276" i="9"/>
  <c r="Z276" i="9"/>
  <c r="K290" i="9"/>
  <c r="V290" i="9"/>
  <c r="J282" i="9"/>
  <c r="U282" i="9"/>
  <c r="M278" i="9"/>
  <c r="X278" i="9"/>
  <c r="H282" i="9"/>
  <c r="S282" i="9"/>
  <c r="H281" i="9"/>
  <c r="S281" i="9"/>
  <c r="G284" i="9"/>
  <c r="R284" i="9"/>
  <c r="M290" i="9"/>
  <c r="X290" i="9"/>
  <c r="L290" i="9"/>
  <c r="W290" i="9"/>
  <c r="O275" i="9"/>
  <c r="Z275" i="9"/>
  <c r="M279" i="9"/>
  <c r="X279" i="9"/>
  <c r="M284" i="9"/>
  <c r="X284" i="9"/>
  <c r="J278" i="9"/>
  <c r="U278" i="9"/>
  <c r="J279" i="9"/>
  <c r="U279" i="9"/>
  <c r="L279" i="9"/>
  <c r="W279" i="9"/>
  <c r="O289" i="9"/>
  <c r="Z289" i="9"/>
  <c r="N289" i="9"/>
  <c r="Y289" i="9"/>
  <c r="H284" i="9"/>
  <c r="S284" i="9"/>
  <c r="N627" i="9"/>
  <c r="Y627" i="9"/>
  <c r="M631" i="9"/>
  <c r="X631" i="9"/>
  <c r="O634" i="9"/>
  <c r="Z634" i="9"/>
  <c r="G638" i="9"/>
  <c r="R638" i="9"/>
  <c r="I641" i="9"/>
  <c r="T641" i="9"/>
  <c r="M629" i="9"/>
  <c r="X629" i="9"/>
  <c r="G636" i="9"/>
  <c r="R636" i="9"/>
  <c r="M641" i="9"/>
  <c r="X641" i="9"/>
  <c r="N633" i="9"/>
  <c r="Y633" i="9"/>
  <c r="J639" i="9"/>
  <c r="U639" i="9"/>
  <c r="J629" i="9"/>
  <c r="U629" i="9"/>
  <c r="L632" i="9"/>
  <c r="W632" i="9"/>
  <c r="N635" i="9"/>
  <c r="Y635" i="9"/>
  <c r="F639" i="9"/>
  <c r="Q639" i="9"/>
  <c r="H642" i="9"/>
  <c r="S642" i="9"/>
  <c r="M633" i="9"/>
  <c r="X633" i="9"/>
  <c r="O640" i="9"/>
  <c r="Z640" i="9"/>
  <c r="J631" i="9"/>
  <c r="U631" i="9"/>
  <c r="N637" i="9"/>
  <c r="Y637" i="9"/>
  <c r="F642" i="9"/>
  <c r="Q642" i="9"/>
  <c r="L635" i="9"/>
  <c r="W635" i="9"/>
  <c r="H629" i="9"/>
  <c r="S629" i="9"/>
  <c r="M638" i="9"/>
  <c r="X638" i="9"/>
  <c r="I632" i="9"/>
  <c r="T632" i="9"/>
  <c r="O628" i="9"/>
  <c r="Z628" i="9"/>
  <c r="J638" i="9"/>
  <c r="U638" i="9"/>
  <c r="F632" i="9"/>
  <c r="Q632" i="9"/>
  <c r="K641" i="9"/>
  <c r="V641" i="9"/>
  <c r="G635" i="9"/>
  <c r="R635" i="9"/>
  <c r="M628" i="9"/>
  <c r="X628" i="9"/>
  <c r="N634" i="9"/>
  <c r="Y634" i="9"/>
  <c r="O637" i="9"/>
  <c r="Z637" i="9"/>
  <c r="N642" i="9"/>
  <c r="Y642" i="9"/>
  <c r="G633" i="9"/>
  <c r="R633" i="9"/>
  <c r="J634" i="9"/>
  <c r="U634" i="9"/>
  <c r="K637" i="9"/>
  <c r="V637" i="9"/>
  <c r="L639" i="9"/>
  <c r="W639" i="9"/>
  <c r="O629" i="9"/>
  <c r="Z629" i="9"/>
  <c r="J642" i="9"/>
  <c r="U642" i="9"/>
  <c r="I642" i="9"/>
  <c r="T642" i="9"/>
  <c r="O630" i="9"/>
  <c r="Z630" i="9"/>
  <c r="M635" i="9"/>
  <c r="X635" i="9"/>
  <c r="M639" i="9"/>
  <c r="X639" i="9"/>
  <c r="F627" i="9"/>
  <c r="Q627" i="9"/>
  <c r="M637" i="9"/>
  <c r="X637" i="9"/>
  <c r="L630" i="9"/>
  <c r="W630" i="9"/>
  <c r="L638" i="9"/>
  <c r="W638" i="9"/>
  <c r="H630" i="9"/>
  <c r="S630" i="9"/>
  <c r="H634" i="9"/>
  <c r="S634" i="9"/>
  <c r="H638" i="9"/>
  <c r="S638" i="9"/>
  <c r="L628" i="9"/>
  <c r="W628" i="9"/>
  <c r="O636" i="9"/>
  <c r="Z636" i="9"/>
  <c r="N629" i="9"/>
  <c r="Y629" i="9"/>
  <c r="H640" i="9"/>
  <c r="S640" i="9"/>
  <c r="N638" i="9"/>
  <c r="Y638" i="9"/>
  <c r="N630" i="9"/>
  <c r="Y630" i="9"/>
  <c r="G637" i="9"/>
  <c r="R637" i="9"/>
  <c r="G629" i="9"/>
  <c r="R629" i="9"/>
  <c r="F640" i="9"/>
  <c r="Q640" i="9"/>
  <c r="J630" i="9"/>
  <c r="U630" i="9"/>
  <c r="I638" i="9"/>
  <c r="T638" i="9"/>
  <c r="I630" i="9"/>
  <c r="T630" i="9"/>
  <c r="L631" i="9"/>
  <c r="W631" i="9"/>
  <c r="K631" i="9"/>
  <c r="V631" i="9"/>
  <c r="K639" i="9"/>
  <c r="V639" i="9"/>
  <c r="H631" i="9"/>
  <c r="S631" i="9"/>
  <c r="G631" i="9"/>
  <c r="R631" i="9"/>
  <c r="I636" i="9"/>
  <c r="T636" i="9"/>
  <c r="L629" i="9"/>
  <c r="W629" i="9"/>
  <c r="F636" i="9"/>
  <c r="Q636" i="9"/>
  <c r="I629" i="9"/>
  <c r="T629" i="9"/>
  <c r="O632" i="9"/>
  <c r="Z632" i="9"/>
  <c r="F641" i="9"/>
  <c r="Q641" i="9"/>
  <c r="J637" i="9"/>
  <c r="U637" i="9"/>
  <c r="K642" i="9"/>
  <c r="V642" i="9"/>
  <c r="H637" i="9"/>
  <c r="S637" i="9"/>
  <c r="M630" i="9"/>
  <c r="X630" i="9"/>
  <c r="H627" i="9"/>
  <c r="S627" i="9"/>
  <c r="J636" i="9"/>
  <c r="U636" i="9"/>
  <c r="O627" i="9"/>
  <c r="Z627" i="9"/>
  <c r="K629" i="9"/>
  <c r="V629" i="9"/>
  <c r="K632" i="9"/>
  <c r="V632" i="9"/>
  <c r="I637" i="9"/>
  <c r="T637" i="9"/>
  <c r="O642" i="9"/>
  <c r="Z642" i="9"/>
  <c r="K638" i="9"/>
  <c r="V638" i="9"/>
  <c r="J635" i="9"/>
  <c r="U635" i="9"/>
  <c r="H628" i="9"/>
  <c r="S628" i="9"/>
  <c r="F635" i="9"/>
  <c r="Q635" i="9"/>
  <c r="L640" i="9"/>
  <c r="W640" i="9"/>
  <c r="I635" i="9"/>
  <c r="T635" i="9"/>
  <c r="F633" i="9"/>
  <c r="Q633" i="9"/>
  <c r="M627" i="9"/>
  <c r="X627" i="9"/>
  <c r="J632" i="9"/>
  <c r="U632" i="9"/>
  <c r="K635" i="9"/>
  <c r="V635" i="9"/>
  <c r="I627" i="9"/>
  <c r="T627" i="9"/>
  <c r="L633" i="9"/>
  <c r="W633" i="9"/>
  <c r="M636" i="9"/>
  <c r="X636" i="9"/>
  <c r="H641" i="9"/>
  <c r="S641" i="9"/>
  <c r="M634" i="9"/>
  <c r="X634" i="9"/>
  <c r="G628" i="9"/>
  <c r="R628" i="9"/>
  <c r="M640" i="9"/>
  <c r="X640" i="9"/>
  <c r="M642" i="9"/>
  <c r="X642" i="9"/>
  <c r="M632" i="9"/>
  <c r="X632" i="9"/>
  <c r="G627" i="9"/>
  <c r="R627" i="9"/>
  <c r="I633" i="9"/>
  <c r="T633" i="9"/>
  <c r="O638" i="9"/>
  <c r="Z638" i="9"/>
  <c r="I631" i="9"/>
  <c r="T631" i="9"/>
  <c r="G640" i="9"/>
  <c r="R640" i="9"/>
  <c r="F637" i="9"/>
  <c r="Q637" i="9"/>
  <c r="F631" i="9"/>
  <c r="Q631" i="9"/>
  <c r="L636" i="9"/>
  <c r="W636" i="9"/>
  <c r="J641" i="9"/>
  <c r="U641" i="9"/>
  <c r="I639" i="9"/>
  <c r="T639" i="9"/>
  <c r="L634" i="9"/>
  <c r="W634" i="9"/>
  <c r="J640" i="9"/>
  <c r="U640" i="9"/>
  <c r="L627" i="9"/>
  <c r="W627" i="9"/>
  <c r="O633" i="9"/>
  <c r="Z633" i="9"/>
  <c r="L641" i="9"/>
  <c r="W641" i="9"/>
  <c r="N628" i="9"/>
  <c r="Y628" i="9"/>
  <c r="K633" i="9"/>
  <c r="V633" i="9"/>
  <c r="F638" i="9"/>
  <c r="Q638" i="9"/>
  <c r="I628" i="9"/>
  <c r="T628" i="9"/>
  <c r="N640" i="9"/>
  <c r="Y640" i="9"/>
  <c r="I634" i="9"/>
  <c r="T634" i="9"/>
  <c r="N632" i="9"/>
  <c r="Y632" i="9"/>
  <c r="H639" i="9"/>
  <c r="S639" i="9"/>
  <c r="G634" i="9"/>
  <c r="R634" i="9"/>
  <c r="K640" i="9"/>
  <c r="V640" i="9"/>
  <c r="F629" i="9"/>
  <c r="Q629" i="9"/>
  <c r="N631" i="9"/>
  <c r="Y631" i="9"/>
  <c r="K630" i="9"/>
  <c r="V630" i="9"/>
  <c r="H636" i="9"/>
  <c r="S636" i="9"/>
  <c r="O641" i="9"/>
  <c r="Z641" i="9"/>
  <c r="N636" i="9"/>
  <c r="Y636" i="9"/>
  <c r="O631" i="9"/>
  <c r="Z631" i="9"/>
  <c r="J628" i="9"/>
  <c r="U628" i="9"/>
  <c r="L637" i="9"/>
  <c r="W637" i="9"/>
  <c r="O635" i="9"/>
  <c r="Z635" i="9"/>
  <c r="K636" i="9"/>
  <c r="V636" i="9"/>
  <c r="L642" i="9"/>
  <c r="W642" i="9"/>
  <c r="J627" i="9"/>
  <c r="U627" i="9"/>
  <c r="K627" i="9"/>
  <c r="V627" i="9"/>
  <c r="G641" i="9"/>
  <c r="R641" i="9"/>
  <c r="G639" i="9"/>
  <c r="R639" i="9"/>
  <c r="K634" i="9"/>
  <c r="V634" i="9"/>
  <c r="F634" i="9"/>
  <c r="Q634" i="9"/>
  <c r="F628" i="9"/>
  <c r="Q628" i="9"/>
  <c r="G630" i="9"/>
  <c r="R630" i="9"/>
  <c r="H632" i="9"/>
  <c r="S632" i="9"/>
  <c r="G632" i="9"/>
  <c r="R632" i="9"/>
  <c r="I640" i="9"/>
  <c r="T640" i="9"/>
  <c r="K628" i="9"/>
  <c r="V628" i="9"/>
  <c r="H633" i="9"/>
  <c r="S633" i="9"/>
  <c r="G642" i="9"/>
  <c r="R642" i="9"/>
  <c r="J633" i="9"/>
  <c r="U633" i="9"/>
  <c r="N641" i="9"/>
  <c r="Y641" i="9"/>
  <c r="H635" i="9"/>
  <c r="S635" i="9"/>
  <c r="F630" i="9"/>
  <c r="Q630" i="9"/>
  <c r="N639" i="9"/>
  <c r="Y639" i="9"/>
  <c r="O639" i="9"/>
  <c r="Z639" i="9"/>
  <c r="P72" i="9"/>
  <c r="P78" i="9"/>
  <c r="P81" i="9"/>
  <c r="L1011" i="9"/>
  <c r="W1011" i="9"/>
  <c r="N1014" i="9"/>
  <c r="Y1014" i="9"/>
  <c r="F1018" i="9"/>
  <c r="Q1018" i="9"/>
  <c r="H1021" i="9"/>
  <c r="S1021" i="9"/>
  <c r="J1024" i="9"/>
  <c r="U1024" i="9"/>
  <c r="M1011" i="9"/>
  <c r="X1011" i="9"/>
  <c r="O1014" i="9"/>
  <c r="Z1014" i="9"/>
  <c r="G1018" i="9"/>
  <c r="R1018" i="9"/>
  <c r="I1021" i="9"/>
  <c r="T1021" i="9"/>
  <c r="K1024" i="9"/>
  <c r="V1024" i="9"/>
  <c r="I1011" i="9"/>
  <c r="T1011" i="9"/>
  <c r="M1017" i="9"/>
  <c r="X1017" i="9"/>
  <c r="G1024" i="9"/>
  <c r="R1024" i="9"/>
  <c r="H1015" i="9"/>
  <c r="S1015" i="9"/>
  <c r="L1021" i="9"/>
  <c r="W1021" i="9"/>
  <c r="H1011" i="9"/>
  <c r="S1011" i="9"/>
  <c r="F1024" i="9"/>
  <c r="Q1024" i="9"/>
  <c r="M1021" i="9"/>
  <c r="X1021" i="9"/>
  <c r="O1016" i="9"/>
  <c r="Z1016" i="9"/>
  <c r="H1019" i="9"/>
  <c r="S1019" i="9"/>
  <c r="M1026" i="9"/>
  <c r="X1026" i="9"/>
  <c r="I1020" i="9"/>
  <c r="T1020" i="9"/>
  <c r="O1013" i="9"/>
  <c r="Z1013" i="9"/>
  <c r="J1023" i="9"/>
  <c r="U1023" i="9"/>
  <c r="F1017" i="9"/>
  <c r="Q1017" i="9"/>
  <c r="I1026" i="9"/>
  <c r="T1026" i="9"/>
  <c r="O1019" i="9"/>
  <c r="Z1019" i="9"/>
  <c r="K1013" i="9"/>
  <c r="V1013" i="9"/>
  <c r="F1023" i="9"/>
  <c r="Q1023" i="9"/>
  <c r="L1016" i="9"/>
  <c r="W1016" i="9"/>
  <c r="I1024" i="9"/>
  <c r="T1024" i="9"/>
  <c r="K1011" i="9"/>
  <c r="V1011" i="9"/>
  <c r="L1014" i="9"/>
  <c r="W1014" i="9"/>
  <c r="G1013" i="9"/>
  <c r="R1013" i="9"/>
  <c r="M1020" i="9"/>
  <c r="X1020" i="9"/>
  <c r="N1023" i="9"/>
  <c r="Y1023" i="9"/>
  <c r="M1022" i="9"/>
  <c r="X1022" i="9"/>
  <c r="F1013" i="9"/>
  <c r="Q1013" i="9"/>
  <c r="F1019" i="9"/>
  <c r="Q1019" i="9"/>
  <c r="I1022" i="9"/>
  <c r="T1022" i="9"/>
  <c r="F1011" i="9"/>
  <c r="Q1011" i="9"/>
  <c r="L1019" i="9"/>
  <c r="W1019" i="9"/>
  <c r="L1023" i="9"/>
  <c r="W1023" i="9"/>
  <c r="K1012" i="9"/>
  <c r="V1012" i="9"/>
  <c r="K1020" i="9"/>
  <c r="V1020" i="9"/>
  <c r="H1013" i="9"/>
  <c r="S1013" i="9"/>
  <c r="H1017" i="9"/>
  <c r="S1017" i="9"/>
  <c r="F1022" i="9"/>
  <c r="Q1022" i="9"/>
  <c r="F1026" i="9"/>
  <c r="Q1026" i="9"/>
  <c r="G1014" i="9"/>
  <c r="R1014" i="9"/>
  <c r="O1018" i="9"/>
  <c r="Z1018" i="9"/>
  <c r="O1022" i="9"/>
  <c r="Z1022" i="9"/>
  <c r="O1026" i="9"/>
  <c r="Z1026" i="9"/>
  <c r="I1019" i="9"/>
  <c r="T1019" i="9"/>
  <c r="F1012" i="9"/>
  <c r="Q1012" i="9"/>
  <c r="F1020" i="9"/>
  <c r="Q1020" i="9"/>
  <c r="J1014" i="9"/>
  <c r="U1014" i="9"/>
  <c r="I1015" i="9"/>
  <c r="T1015" i="9"/>
  <c r="J1022" i="9"/>
  <c r="U1022" i="9"/>
  <c r="M1013" i="9"/>
  <c r="X1013" i="9"/>
  <c r="K1023" i="9"/>
  <c r="V1023" i="9"/>
  <c r="K1015" i="9"/>
  <c r="V1015" i="9"/>
  <c r="N1021" i="9"/>
  <c r="Y1021" i="9"/>
  <c r="N1013" i="9"/>
  <c r="Y1013" i="9"/>
  <c r="K1021" i="9"/>
  <c r="V1021" i="9"/>
  <c r="O1011" i="9"/>
  <c r="Z1011" i="9"/>
  <c r="N1019" i="9"/>
  <c r="Y1019" i="9"/>
  <c r="N1011" i="9"/>
  <c r="Y1011" i="9"/>
  <c r="H1024" i="9"/>
  <c r="S1024" i="9"/>
  <c r="O1025" i="9"/>
  <c r="Z1025" i="9"/>
  <c r="O1023" i="9"/>
  <c r="Z1023" i="9"/>
  <c r="L1020" i="9"/>
  <c r="W1020" i="9"/>
  <c r="N1025" i="9"/>
  <c r="Y1025" i="9"/>
  <c r="O1015" i="9"/>
  <c r="Z1015" i="9"/>
  <c r="J1025" i="9"/>
  <c r="U1025" i="9"/>
  <c r="F1014" i="9"/>
  <c r="Q1014" i="9"/>
  <c r="N1018" i="9"/>
  <c r="Y1018" i="9"/>
  <c r="N1022" i="9"/>
  <c r="Y1022" i="9"/>
  <c r="N1026" i="9"/>
  <c r="Y1026" i="9"/>
  <c r="M1015" i="9"/>
  <c r="X1015" i="9"/>
  <c r="M1019" i="9"/>
  <c r="X1019" i="9"/>
  <c r="M1023" i="9"/>
  <c r="X1023" i="9"/>
  <c r="O1012" i="9"/>
  <c r="Z1012" i="9"/>
  <c r="O1020" i="9"/>
  <c r="Z1020" i="9"/>
  <c r="L1013" i="9"/>
  <c r="W1013" i="9"/>
  <c r="H1023" i="9"/>
  <c r="S1023" i="9"/>
  <c r="L1017" i="9"/>
  <c r="W1017" i="9"/>
  <c r="K1018" i="9"/>
  <c r="V1018" i="9"/>
  <c r="I1023" i="9"/>
  <c r="T1023" i="9"/>
  <c r="K1026" i="9"/>
  <c r="V1026" i="9"/>
  <c r="O1021" i="9"/>
  <c r="Z1021" i="9"/>
  <c r="I1012" i="9"/>
  <c r="T1012" i="9"/>
  <c r="H1020" i="9"/>
  <c r="S1020" i="9"/>
  <c r="H1012" i="9"/>
  <c r="S1012" i="9"/>
  <c r="I1018" i="9"/>
  <c r="T1018" i="9"/>
  <c r="H1026" i="9"/>
  <c r="S1026" i="9"/>
  <c r="H1018" i="9"/>
  <c r="S1018" i="9"/>
  <c r="G1021" i="9"/>
  <c r="R1021" i="9"/>
  <c r="F1021" i="9"/>
  <c r="Q1021" i="9"/>
  <c r="K1019" i="9"/>
  <c r="V1019" i="9"/>
  <c r="K1017" i="9"/>
  <c r="V1017" i="9"/>
  <c r="J1017" i="9"/>
  <c r="U1017" i="9"/>
  <c r="J1019" i="9"/>
  <c r="U1019" i="9"/>
  <c r="K1025" i="9"/>
  <c r="V1025" i="9"/>
  <c r="L1012" i="9"/>
  <c r="W1012" i="9"/>
  <c r="L1015" i="9"/>
  <c r="W1015" i="9"/>
  <c r="K1016" i="9"/>
  <c r="V1016" i="9"/>
  <c r="I1025" i="9"/>
  <c r="T1025" i="9"/>
  <c r="H1025" i="9"/>
  <c r="S1025" i="9"/>
  <c r="G1026" i="9"/>
  <c r="R1026" i="9"/>
  <c r="M1025" i="9"/>
  <c r="X1025" i="9"/>
  <c r="J1026" i="9"/>
  <c r="U1026" i="9"/>
  <c r="F1016" i="9"/>
  <c r="Q1016" i="9"/>
  <c r="G1025" i="9"/>
  <c r="R1025" i="9"/>
  <c r="F1025" i="9"/>
  <c r="Q1025" i="9"/>
  <c r="G1023" i="9"/>
  <c r="R1023" i="9"/>
  <c r="J1021" i="9"/>
  <c r="U1021" i="9"/>
  <c r="M1014" i="9"/>
  <c r="X1014" i="9"/>
  <c r="H1016" i="9"/>
  <c r="S1016" i="9"/>
  <c r="I1016" i="9"/>
  <c r="T1016" i="9"/>
  <c r="N1015" i="9"/>
  <c r="Y1015" i="9"/>
  <c r="J1016" i="9"/>
  <c r="U1016" i="9"/>
  <c r="J1018" i="9"/>
  <c r="U1018" i="9"/>
  <c r="L1025" i="9"/>
  <c r="W1025" i="9"/>
  <c r="J1015" i="9"/>
  <c r="U1015" i="9"/>
  <c r="J1013" i="9"/>
  <c r="U1013" i="9"/>
  <c r="G1011" i="9"/>
  <c r="R1011" i="9"/>
  <c r="J1020" i="9"/>
  <c r="U1020" i="9"/>
  <c r="G1022" i="9"/>
  <c r="R1022" i="9"/>
  <c r="K1022" i="9"/>
  <c r="V1022" i="9"/>
  <c r="N1024" i="9"/>
  <c r="Y1024" i="9"/>
  <c r="O1024" i="9"/>
  <c r="Z1024" i="9"/>
  <c r="G1020" i="9"/>
  <c r="R1020" i="9"/>
  <c r="L1026" i="9"/>
  <c r="W1026" i="9"/>
  <c r="M1024" i="9"/>
  <c r="X1024" i="9"/>
  <c r="L1024" i="9"/>
  <c r="W1024" i="9"/>
  <c r="O1017" i="9"/>
  <c r="Z1017" i="9"/>
  <c r="L1022" i="9"/>
  <c r="W1022" i="9"/>
  <c r="H1014" i="9"/>
  <c r="S1014" i="9"/>
  <c r="M1012" i="9"/>
  <c r="X1012" i="9"/>
  <c r="J1012" i="9"/>
  <c r="U1012" i="9"/>
  <c r="I1013" i="9"/>
  <c r="T1013" i="9"/>
  <c r="K1014" i="9"/>
  <c r="V1014" i="9"/>
  <c r="N1016" i="9"/>
  <c r="Y1016" i="9"/>
  <c r="N1020" i="9"/>
  <c r="Y1020" i="9"/>
  <c r="N1012" i="9"/>
  <c r="Y1012" i="9"/>
  <c r="M1018" i="9"/>
  <c r="X1018" i="9"/>
  <c r="L1018" i="9"/>
  <c r="W1018" i="9"/>
  <c r="M1016" i="9"/>
  <c r="X1016" i="9"/>
  <c r="F1015" i="9"/>
  <c r="Q1015" i="9"/>
  <c r="N1017" i="9"/>
  <c r="Y1017" i="9"/>
  <c r="I1014" i="9"/>
  <c r="T1014" i="9"/>
  <c r="G1019" i="9"/>
  <c r="R1019" i="9"/>
  <c r="I1017" i="9"/>
  <c r="T1017" i="9"/>
  <c r="G1016" i="9"/>
  <c r="R1016" i="9"/>
  <c r="G1012" i="9"/>
  <c r="R1012" i="9"/>
  <c r="G1017" i="9"/>
  <c r="R1017" i="9"/>
  <c r="G1015" i="9"/>
  <c r="R1015" i="9"/>
  <c r="J1011" i="9"/>
  <c r="U1011" i="9"/>
  <c r="H1022" i="9"/>
  <c r="S1022" i="9"/>
  <c r="K1108" i="9"/>
  <c r="V1108" i="9"/>
  <c r="L1110" i="9"/>
  <c r="W1110" i="9"/>
  <c r="N1112" i="9"/>
  <c r="Y1112" i="9"/>
  <c r="O1114" i="9"/>
  <c r="Z1114" i="9"/>
  <c r="F1117" i="9"/>
  <c r="Q1117" i="9"/>
  <c r="H1119" i="9"/>
  <c r="S1119" i="9"/>
  <c r="I1121" i="9"/>
  <c r="T1121" i="9"/>
  <c r="F1107" i="9"/>
  <c r="Q1107" i="9"/>
  <c r="H1109" i="9"/>
  <c r="S1109" i="9"/>
  <c r="I1111" i="9"/>
  <c r="T1111" i="9"/>
  <c r="J1113" i="9"/>
  <c r="U1113" i="9"/>
  <c r="L1115" i="9"/>
  <c r="W1115" i="9"/>
  <c r="M1117" i="9"/>
  <c r="X1117" i="9"/>
  <c r="N1119" i="9"/>
  <c r="Y1119" i="9"/>
  <c r="F1122" i="9"/>
  <c r="Q1122" i="9"/>
  <c r="J1109" i="9"/>
  <c r="U1109" i="9"/>
  <c r="M1113" i="9"/>
  <c r="X1113" i="9"/>
  <c r="F1118" i="9"/>
  <c r="Q1118" i="9"/>
  <c r="H1122" i="9"/>
  <c r="S1122" i="9"/>
  <c r="O1110" i="9"/>
  <c r="Z1110" i="9"/>
  <c r="H1115" i="9"/>
  <c r="S1115" i="9"/>
  <c r="J1119" i="9"/>
  <c r="U1119" i="9"/>
  <c r="H1108" i="9"/>
  <c r="S1108" i="9"/>
  <c r="N1116" i="9"/>
  <c r="Y1116" i="9"/>
  <c r="F1111" i="9"/>
  <c r="Q1111" i="9"/>
  <c r="L1119" i="9"/>
  <c r="W1119" i="9"/>
  <c r="N1117" i="9"/>
  <c r="Y1117" i="9"/>
  <c r="K1118" i="9"/>
  <c r="V1118" i="9"/>
  <c r="G1112" i="9"/>
  <c r="R1112" i="9"/>
  <c r="N1107" i="9"/>
  <c r="Y1107" i="9"/>
  <c r="M1118" i="9"/>
  <c r="X1118" i="9"/>
  <c r="I1112" i="9"/>
  <c r="T1112" i="9"/>
  <c r="K1121" i="9"/>
  <c r="V1121" i="9"/>
  <c r="G1115" i="9"/>
  <c r="R1115" i="9"/>
  <c r="M1108" i="9"/>
  <c r="X1108" i="9"/>
  <c r="G1113" i="9"/>
  <c r="R1113" i="9"/>
  <c r="I1122" i="9"/>
  <c r="T1122" i="9"/>
  <c r="K1109" i="9"/>
  <c r="V1109" i="9"/>
  <c r="M1120" i="9"/>
  <c r="X1120" i="9"/>
  <c r="G1111" i="9"/>
  <c r="R1111" i="9"/>
  <c r="F1109" i="9"/>
  <c r="Q1109" i="9"/>
  <c r="M1111" i="9"/>
  <c r="X1111" i="9"/>
  <c r="J1114" i="9"/>
  <c r="U1114" i="9"/>
  <c r="L1117" i="9"/>
  <c r="W1117" i="9"/>
  <c r="H1120" i="9"/>
  <c r="S1120" i="9"/>
  <c r="O1122" i="9"/>
  <c r="Z1122" i="9"/>
  <c r="M1109" i="9"/>
  <c r="X1109" i="9"/>
  <c r="J1112" i="9"/>
  <c r="U1112" i="9"/>
  <c r="F1115" i="9"/>
  <c r="Q1115" i="9"/>
  <c r="H1118" i="9"/>
  <c r="S1118" i="9"/>
  <c r="O1120" i="9"/>
  <c r="Z1120" i="9"/>
  <c r="J1108" i="9"/>
  <c r="U1108" i="9"/>
  <c r="N1114" i="9"/>
  <c r="Y1114" i="9"/>
  <c r="G1120" i="9"/>
  <c r="R1120" i="9"/>
  <c r="N1109" i="9"/>
  <c r="Y1109" i="9"/>
  <c r="H1116" i="9"/>
  <c r="S1116" i="9"/>
  <c r="L1121" i="9"/>
  <c r="W1121" i="9"/>
  <c r="L1114" i="9"/>
  <c r="W1114" i="9"/>
  <c r="H1113" i="9"/>
  <c r="S1113" i="9"/>
  <c r="I1109" i="9"/>
  <c r="T1109" i="9"/>
  <c r="H1114" i="9"/>
  <c r="S1114" i="9"/>
  <c r="L1120" i="9"/>
  <c r="W1120" i="9"/>
  <c r="O1121" i="9"/>
  <c r="Z1121" i="9"/>
  <c r="O1113" i="9"/>
  <c r="Z1113" i="9"/>
  <c r="O1119" i="9"/>
  <c r="Z1119" i="9"/>
  <c r="O1111" i="9"/>
  <c r="Z1111" i="9"/>
  <c r="I1116" i="9"/>
  <c r="T1116" i="9"/>
  <c r="G1119" i="9"/>
  <c r="R1119" i="9"/>
  <c r="M1114" i="9"/>
  <c r="X1114" i="9"/>
  <c r="I1114" i="9"/>
  <c r="T1114" i="9"/>
  <c r="G1107" i="9"/>
  <c r="R1107" i="9"/>
  <c r="L1109" i="9"/>
  <c r="W1109" i="9"/>
  <c r="H1112" i="9"/>
  <c r="S1112" i="9"/>
  <c r="J1115" i="9"/>
  <c r="U1115" i="9"/>
  <c r="G1118" i="9"/>
  <c r="R1118" i="9"/>
  <c r="N1120" i="9"/>
  <c r="Y1120" i="9"/>
  <c r="L1107" i="9"/>
  <c r="W1107" i="9"/>
  <c r="H1110" i="9"/>
  <c r="S1110" i="9"/>
  <c r="O1112" i="9"/>
  <c r="Z1112" i="9"/>
  <c r="G1116" i="9"/>
  <c r="R1116" i="9"/>
  <c r="N1118" i="9"/>
  <c r="Y1118" i="9"/>
  <c r="J1121" i="9"/>
  <c r="U1121" i="9"/>
  <c r="K1110" i="9"/>
  <c r="V1110" i="9"/>
  <c r="N1115" i="9"/>
  <c r="Y1115" i="9"/>
  <c r="H1121" i="9"/>
  <c r="S1121" i="9"/>
  <c r="F1112" i="9"/>
  <c r="Q1112" i="9"/>
  <c r="I1117" i="9"/>
  <c r="T1117" i="9"/>
  <c r="L1122" i="9"/>
  <c r="W1122" i="9"/>
  <c r="O1118" i="9"/>
  <c r="Z1118" i="9"/>
  <c r="I1115" i="9"/>
  <c r="T1115" i="9"/>
  <c r="L1113" i="9"/>
  <c r="W1113" i="9"/>
  <c r="N1122" i="9"/>
  <c r="Y1122" i="9"/>
  <c r="M1115" i="9"/>
  <c r="X1115" i="9"/>
  <c r="I1120" i="9"/>
  <c r="T1120" i="9"/>
  <c r="M1110" i="9"/>
  <c r="X1110" i="9"/>
  <c r="I1118" i="9"/>
  <c r="T1118" i="9"/>
  <c r="I1110" i="9"/>
  <c r="T1110" i="9"/>
  <c r="O1109" i="9"/>
  <c r="Z1109" i="9"/>
  <c r="O1115" i="9"/>
  <c r="Z1115" i="9"/>
  <c r="I1108" i="9"/>
  <c r="T1108" i="9"/>
  <c r="L1118" i="9"/>
  <c r="W1118" i="9"/>
  <c r="F1108" i="9"/>
  <c r="Q1108" i="9"/>
  <c r="M1119" i="9"/>
  <c r="X1119" i="9"/>
  <c r="K1114" i="9"/>
  <c r="V1114" i="9"/>
  <c r="L1112" i="9"/>
  <c r="W1112" i="9"/>
  <c r="K1120" i="9"/>
  <c r="V1120" i="9"/>
  <c r="F1110" i="9"/>
  <c r="Q1110" i="9"/>
  <c r="K1107" i="9"/>
  <c r="V1107" i="9"/>
  <c r="G1110" i="9"/>
  <c r="R1110" i="9"/>
  <c r="F1116" i="9"/>
  <c r="Q1116" i="9"/>
  <c r="N1121" i="9"/>
  <c r="Y1121" i="9"/>
  <c r="N1110" i="9"/>
  <c r="Y1110" i="9"/>
  <c r="L1116" i="9"/>
  <c r="W1116" i="9"/>
  <c r="K1122" i="9"/>
  <c r="V1122" i="9"/>
  <c r="O1116" i="9"/>
  <c r="Z1116" i="9"/>
  <c r="F1113" i="9"/>
  <c r="Q1113" i="9"/>
  <c r="J1110" i="9"/>
  <c r="U1110" i="9"/>
  <c r="J1117" i="9"/>
  <c r="U1117" i="9"/>
  <c r="J1111" i="9"/>
  <c r="U1111" i="9"/>
  <c r="G1117" i="9"/>
  <c r="R1117" i="9"/>
  <c r="M1116" i="9"/>
  <c r="X1116" i="9"/>
  <c r="O1117" i="9"/>
  <c r="Z1117" i="9"/>
  <c r="O1107" i="9"/>
  <c r="Z1107" i="9"/>
  <c r="H1111" i="9"/>
  <c r="S1111" i="9"/>
  <c r="K1116" i="9"/>
  <c r="V1116" i="9"/>
  <c r="J1122" i="9"/>
  <c r="U1122" i="9"/>
  <c r="N1111" i="9"/>
  <c r="Y1111" i="9"/>
  <c r="H1117" i="9"/>
  <c r="S1117" i="9"/>
  <c r="I1107" i="9"/>
  <c r="T1107" i="9"/>
  <c r="F1119" i="9"/>
  <c r="Q1119" i="9"/>
  <c r="G1114" i="9"/>
  <c r="R1114" i="9"/>
  <c r="K1112" i="9"/>
  <c r="V1112" i="9"/>
  <c r="M1121" i="9"/>
  <c r="X1121" i="9"/>
  <c r="F1120" i="9"/>
  <c r="Q1120" i="9"/>
  <c r="K1115" i="9"/>
  <c r="V1115" i="9"/>
  <c r="K1113" i="9"/>
  <c r="V1113" i="9"/>
  <c r="K1111" i="9"/>
  <c r="V1111" i="9"/>
  <c r="K1117" i="9"/>
  <c r="V1117" i="9"/>
  <c r="J1107" i="9"/>
  <c r="U1107" i="9"/>
  <c r="I1113" i="9"/>
  <c r="T1113" i="9"/>
  <c r="G1108" i="9"/>
  <c r="R1108" i="9"/>
  <c r="F1114" i="9"/>
  <c r="Q1114" i="9"/>
  <c r="I1119" i="9"/>
  <c r="T1119" i="9"/>
  <c r="L1111" i="9"/>
  <c r="W1111" i="9"/>
  <c r="M1107" i="9"/>
  <c r="X1107" i="9"/>
  <c r="J1118" i="9"/>
  <c r="U1118" i="9"/>
  <c r="F1121" i="9"/>
  <c r="Q1121" i="9"/>
  <c r="G1122" i="9"/>
  <c r="R1122" i="9"/>
  <c r="J1116" i="9"/>
  <c r="U1116" i="9"/>
  <c r="G1109" i="9"/>
  <c r="R1109" i="9"/>
  <c r="M1122" i="9"/>
  <c r="X1122" i="9"/>
  <c r="M1112" i="9"/>
  <c r="X1112" i="9"/>
  <c r="N1113" i="9"/>
  <c r="Y1113" i="9"/>
  <c r="L1108" i="9"/>
  <c r="W1108" i="9"/>
  <c r="J1120" i="9"/>
  <c r="U1120" i="9"/>
  <c r="N1108" i="9"/>
  <c r="Y1108" i="9"/>
  <c r="O1108" i="9"/>
  <c r="Z1108" i="9"/>
  <c r="H1107" i="9"/>
  <c r="S1107" i="9"/>
  <c r="K1119" i="9"/>
  <c r="V1119" i="9"/>
  <c r="G1121" i="9"/>
  <c r="R1121" i="9"/>
  <c r="P99" i="9"/>
  <c r="P4" i="9"/>
  <c r="P12" i="9"/>
  <c r="P10" i="9"/>
  <c r="P18" i="9"/>
  <c r="P16" i="9"/>
  <c r="P8" i="9"/>
  <c r="P5" i="9"/>
  <c r="P11" i="9"/>
  <c r="P17" i="9"/>
  <c r="P7" i="9"/>
  <c r="P6" i="9"/>
  <c r="P13" i="9"/>
  <c r="P14" i="9"/>
  <c r="P9" i="9"/>
  <c r="P15" i="9"/>
  <c r="F88" i="6"/>
  <c r="F85" i="6"/>
  <c r="O103" i="5"/>
  <c r="O105" i="5"/>
  <c r="O117" i="5"/>
  <c r="O104" i="5"/>
  <c r="O116" i="5"/>
  <c r="O111" i="5"/>
  <c r="O124" i="5"/>
  <c r="O99" i="5"/>
  <c r="O123" i="5"/>
  <c r="O133" i="5"/>
  <c r="N578" i="9"/>
  <c r="Y578" i="9"/>
  <c r="O110" i="5"/>
  <c r="O120" i="5"/>
  <c r="N562" i="9"/>
  <c r="Y562" i="9"/>
  <c r="O98" i="5"/>
  <c r="O106" i="5"/>
  <c r="O125" i="5"/>
  <c r="O112" i="5"/>
  <c r="O100" i="5"/>
  <c r="P126" i="5"/>
  <c r="P113" i="5"/>
  <c r="O127" i="5"/>
  <c r="O114" i="5"/>
  <c r="O101" i="5"/>
  <c r="O113" i="5"/>
  <c r="O126" i="5"/>
  <c r="O115" i="5"/>
  <c r="O128" i="5"/>
  <c r="N120" i="5"/>
  <c r="N136" i="5"/>
  <c r="M594" i="9"/>
  <c r="X594" i="9"/>
  <c r="M136" i="5"/>
  <c r="L594" i="9"/>
  <c r="W594" i="9"/>
  <c r="O95" i="5"/>
  <c r="Q1191" i="9"/>
  <c r="P1191" i="9"/>
  <c r="Q1284" i="9"/>
  <c r="P1284" i="9"/>
  <c r="Q1214" i="9"/>
  <c r="P1214" i="9"/>
  <c r="Q1232" i="9"/>
  <c r="P1232" i="9"/>
  <c r="Q1234" i="9"/>
  <c r="P1234" i="9"/>
  <c r="P1253" i="9"/>
  <c r="Q1253" i="9"/>
  <c r="Q1189" i="9"/>
  <c r="P1189" i="9"/>
  <c r="Q1194" i="9"/>
  <c r="P1194" i="9"/>
  <c r="Q1277" i="9"/>
  <c r="P1277" i="9"/>
  <c r="Q1282" i="9"/>
  <c r="P1282" i="9"/>
  <c r="Q1274" i="9"/>
  <c r="P1274" i="9"/>
  <c r="Q1281" i="9"/>
  <c r="P1281" i="9"/>
  <c r="Q1297" i="9"/>
  <c r="P1297" i="9"/>
  <c r="Q1292" i="9"/>
  <c r="P1292" i="9"/>
  <c r="Q1206" i="9"/>
  <c r="P1206" i="9"/>
  <c r="Q1210" i="9"/>
  <c r="P1210" i="9"/>
  <c r="Q1205" i="9"/>
  <c r="P1205" i="9"/>
  <c r="Q1217" i="9"/>
  <c r="P1217" i="9"/>
  <c r="Q1213" i="9"/>
  <c r="P1213" i="9"/>
  <c r="Q1207" i="9"/>
  <c r="P1207" i="9"/>
  <c r="Q1211" i="9"/>
  <c r="P1211" i="9"/>
  <c r="Q1226" i="9"/>
  <c r="P1226" i="9"/>
  <c r="Q1230" i="9"/>
  <c r="P1230" i="9"/>
  <c r="Q1225" i="9"/>
  <c r="P1225" i="9"/>
  <c r="Q1233" i="9"/>
  <c r="P1233" i="9"/>
  <c r="Q1262" i="9"/>
  <c r="P1262" i="9"/>
  <c r="Q1251" i="9"/>
  <c r="P1251" i="9"/>
  <c r="Q1257" i="9"/>
  <c r="P1257" i="9"/>
  <c r="Q1261" i="9"/>
  <c r="P1261" i="9"/>
  <c r="Q1243" i="9"/>
  <c r="P1243" i="9"/>
  <c r="P1237" i="9"/>
  <c r="Q1237" i="9"/>
  <c r="Q1247" i="9"/>
  <c r="P1247" i="9"/>
  <c r="Q1241" i="9"/>
  <c r="P1241" i="9"/>
  <c r="Q1195" i="9"/>
  <c r="P1195" i="9"/>
  <c r="Q1280" i="9"/>
  <c r="P1280" i="9"/>
  <c r="Q1276" i="9"/>
  <c r="P1276" i="9"/>
  <c r="Q1279" i="9"/>
  <c r="P1279" i="9"/>
  <c r="Q1286" i="9"/>
  <c r="P1286" i="9"/>
  <c r="Q1298" i="9"/>
  <c r="P1298" i="9"/>
  <c r="Q1215" i="9"/>
  <c r="P1215" i="9"/>
  <c r="Q1212" i="9"/>
  <c r="P1212" i="9"/>
  <c r="Q1208" i="9"/>
  <c r="P1208" i="9"/>
  <c r="Q1204" i="9"/>
  <c r="P1204" i="9"/>
  <c r="Q1231" i="9"/>
  <c r="P1231" i="9"/>
  <c r="Q1248" i="9"/>
  <c r="P1248" i="9"/>
  <c r="Q1244" i="9"/>
  <c r="P1244" i="9"/>
  <c r="Q1200" i="9"/>
  <c r="P1200" i="9"/>
  <c r="Q1192" i="9"/>
  <c r="P1192" i="9"/>
  <c r="Q1197" i="9"/>
  <c r="P1197" i="9"/>
  <c r="Q1199" i="9"/>
  <c r="P1199" i="9"/>
  <c r="Q1188" i="9"/>
  <c r="P1188" i="9"/>
  <c r="Q1190" i="9"/>
  <c r="P1190" i="9"/>
  <c r="Q1273" i="9"/>
  <c r="P1273" i="9"/>
  <c r="Q1271" i="9"/>
  <c r="P1271" i="9"/>
  <c r="Q1287" i="9"/>
  <c r="P1287" i="9"/>
  <c r="Q1285" i="9"/>
  <c r="P1285" i="9"/>
  <c r="Q1294" i="9"/>
  <c r="P1294" i="9"/>
  <c r="Q1283" i="9"/>
  <c r="P1283" i="9"/>
  <c r="Q1290" i="9"/>
  <c r="P1290" i="9"/>
  <c r="Q1218" i="9"/>
  <c r="P1218" i="9"/>
  <c r="Q1209" i="9"/>
  <c r="P1209" i="9"/>
  <c r="Q1216" i="9"/>
  <c r="P1216" i="9"/>
  <c r="Q1224" i="9"/>
  <c r="P1224" i="9"/>
  <c r="Q1220" i="9"/>
  <c r="P1220" i="9"/>
  <c r="Q1221" i="9"/>
  <c r="P1221" i="9"/>
  <c r="Q1229" i="9"/>
  <c r="P1229" i="9"/>
  <c r="Q1222" i="9"/>
  <c r="P1222" i="9"/>
  <c r="Q1259" i="9"/>
  <c r="P1259" i="9"/>
  <c r="Q1256" i="9"/>
  <c r="P1256" i="9"/>
  <c r="Q1265" i="9"/>
  <c r="P1265" i="9"/>
  <c r="Q1264" i="9"/>
  <c r="P1264" i="9"/>
  <c r="Q1239" i="9"/>
  <c r="P1239" i="9"/>
  <c r="Q1245" i="9"/>
  <c r="P1245" i="9"/>
  <c r="Q1238" i="9"/>
  <c r="P1238" i="9"/>
  <c r="Q1201" i="9"/>
  <c r="P1201" i="9"/>
  <c r="Q1275" i="9"/>
  <c r="P1275" i="9"/>
  <c r="Q1268" i="9"/>
  <c r="P1268" i="9"/>
  <c r="Q1260" i="9"/>
  <c r="P1260" i="9"/>
  <c r="Q1263" i="9"/>
  <c r="P1263" i="9"/>
  <c r="Q1266" i="9"/>
  <c r="P1266" i="9"/>
  <c r="Q1249" i="9"/>
  <c r="P1249" i="9"/>
  <c r="Q1236" i="9"/>
  <c r="P1236" i="9"/>
  <c r="Q1193" i="9"/>
  <c r="P1193" i="9"/>
  <c r="Q1196" i="9"/>
  <c r="P1196" i="9"/>
  <c r="P1202" i="9"/>
  <c r="Q1202" i="9"/>
  <c r="Q1198" i="9"/>
  <c r="P1198" i="9"/>
  <c r="Q1187" i="9"/>
  <c r="P1187" i="9"/>
  <c r="Q1272" i="9"/>
  <c r="P1272" i="9"/>
  <c r="Q1270" i="9"/>
  <c r="P1270" i="9"/>
  <c r="Q1278" i="9"/>
  <c r="P1278" i="9"/>
  <c r="Q1269" i="9"/>
  <c r="P1269" i="9"/>
  <c r="Q1267" i="9"/>
  <c r="P1267" i="9"/>
  <c r="Q1289" i="9"/>
  <c r="P1289" i="9"/>
  <c r="Q1293" i="9"/>
  <c r="P1293" i="9"/>
  <c r="Q1295" i="9"/>
  <c r="P1295" i="9"/>
  <c r="Q1291" i="9"/>
  <c r="P1291" i="9"/>
  <c r="Q1288" i="9"/>
  <c r="P1288" i="9"/>
  <c r="Q1296" i="9"/>
  <c r="P1296" i="9"/>
  <c r="Q1203" i="9"/>
  <c r="P1203" i="9"/>
  <c r="Q1228" i="9"/>
  <c r="P1228" i="9"/>
  <c r="Q1223" i="9"/>
  <c r="P1223" i="9"/>
  <c r="Q1219" i="9"/>
  <c r="P1219" i="9"/>
  <c r="Q1227" i="9"/>
  <c r="P1227" i="9"/>
  <c r="Q1258" i="9"/>
  <c r="P1258" i="9"/>
  <c r="Q1252" i="9"/>
  <c r="P1252" i="9"/>
  <c r="Q1255" i="9"/>
  <c r="P1255" i="9"/>
  <c r="Q1254" i="9"/>
  <c r="P1254" i="9"/>
  <c r="Q1240" i="9"/>
  <c r="P1240" i="9"/>
  <c r="P1242" i="9"/>
  <c r="Q1242" i="9"/>
  <c r="Q1235" i="9"/>
  <c r="P1235" i="9"/>
  <c r="Q1246" i="9"/>
  <c r="P1246" i="9"/>
  <c r="Q1250" i="9"/>
  <c r="P1250" i="9"/>
  <c r="F89" i="6"/>
  <c r="G89" i="6"/>
  <c r="G88" i="6"/>
  <c r="N133" i="5"/>
  <c r="M578" i="9"/>
  <c r="X578" i="9"/>
  <c r="P78" i="5"/>
  <c r="P89" i="5"/>
  <c r="P79" i="5"/>
  <c r="P77" i="5"/>
  <c r="P82" i="5"/>
  <c r="P81" i="5"/>
  <c r="P85" i="5"/>
  <c r="P88" i="5"/>
  <c r="P1125" i="9"/>
  <c r="P1136" i="9"/>
  <c r="P1131" i="9"/>
  <c r="P1132" i="9"/>
  <c r="P1168" i="9"/>
  <c r="P1169" i="9"/>
  <c r="P84" i="5"/>
  <c r="P1135" i="9"/>
  <c r="P1138" i="9"/>
  <c r="P1126" i="9"/>
  <c r="P1133" i="9"/>
  <c r="P1166" i="9"/>
  <c r="P1167" i="9"/>
  <c r="P1165" i="9"/>
  <c r="P91" i="5"/>
  <c r="P130" i="5"/>
  <c r="P1129" i="9"/>
  <c r="P1128" i="9"/>
  <c r="P1170" i="9"/>
  <c r="P1156" i="9"/>
  <c r="P1159" i="9"/>
  <c r="P1161" i="9"/>
  <c r="P1137" i="9"/>
  <c r="P1134" i="9"/>
  <c r="P1127" i="9"/>
  <c r="P1130" i="9"/>
  <c r="P1124" i="9"/>
  <c r="P1123" i="9"/>
  <c r="P1158" i="9"/>
  <c r="P1162" i="9"/>
  <c r="P1163" i="9"/>
  <c r="P1160" i="9"/>
  <c r="P1164" i="9"/>
  <c r="P1157" i="9"/>
  <c r="P1155" i="9"/>
  <c r="P83" i="5"/>
  <c r="P90" i="5"/>
  <c r="P129" i="5"/>
  <c r="P1121" i="9"/>
  <c r="P1110" i="9"/>
  <c r="P1021" i="9"/>
  <c r="P1012" i="9"/>
  <c r="P634" i="9"/>
  <c r="P631" i="9"/>
  <c r="P276" i="9"/>
  <c r="P281" i="9"/>
  <c r="P277" i="9"/>
  <c r="P408" i="9"/>
  <c r="P404" i="9"/>
  <c r="P363" i="9"/>
  <c r="P810" i="9"/>
  <c r="P821" i="9"/>
  <c r="P832" i="9"/>
  <c r="P310" i="9"/>
  <c r="P318" i="9"/>
  <c r="P1091" i="9"/>
  <c r="P488" i="9"/>
  <c r="P498" i="9"/>
  <c r="P677" i="9"/>
  <c r="P681" i="9"/>
  <c r="P966" i="9"/>
  <c r="P670" i="9"/>
  <c r="P170" i="9"/>
  <c r="P478" i="9"/>
  <c r="P479" i="9"/>
  <c r="P469" i="9"/>
  <c r="P1025" i="9"/>
  <c r="P630" i="9"/>
  <c r="P403" i="9"/>
  <c r="P609" i="9"/>
  <c r="P808" i="9"/>
  <c r="P826" i="9"/>
  <c r="P319" i="9"/>
  <c r="P690" i="9"/>
  <c r="P659" i="9"/>
  <c r="P669" i="9"/>
  <c r="P922" i="9"/>
  <c r="P796" i="9"/>
  <c r="P791" i="9"/>
  <c r="P914" i="9"/>
  <c r="P910" i="9"/>
  <c r="P903" i="9"/>
  <c r="P269" i="9"/>
  <c r="P877" i="9"/>
  <c r="P874" i="9"/>
  <c r="P868" i="9"/>
  <c r="P876" i="9"/>
  <c r="P295" i="9"/>
  <c r="P301" i="9"/>
  <c r="P938" i="9"/>
  <c r="P945" i="9"/>
  <c r="P933" i="9"/>
  <c r="P734" i="9"/>
  <c r="P1072" i="9"/>
  <c r="P1067" i="9"/>
  <c r="P157" i="9"/>
  <c r="P184" i="9"/>
  <c r="P222" i="9"/>
  <c r="P217" i="9"/>
  <c r="P216" i="9"/>
  <c r="P373" i="9"/>
  <c r="P384" i="9"/>
  <c r="P379" i="9"/>
  <c r="P376" i="9"/>
  <c r="P382" i="9"/>
  <c r="P372" i="9"/>
  <c r="P1055" i="9"/>
  <c r="P1050" i="9"/>
  <c r="P721" i="9"/>
  <c r="P948" i="9"/>
  <c r="P353" i="9"/>
  <c r="P540" i="9"/>
  <c r="P982" i="9"/>
  <c r="P980" i="9"/>
  <c r="P695" i="9"/>
  <c r="P521" i="9"/>
  <c r="P525" i="9"/>
  <c r="P126" i="9"/>
  <c r="P120" i="9"/>
  <c r="P137" i="9"/>
  <c r="P133" i="9"/>
  <c r="P132" i="9"/>
  <c r="P252" i="9"/>
  <c r="P251" i="9"/>
  <c r="P249" i="9"/>
  <c r="P857" i="9"/>
  <c r="P856" i="9"/>
  <c r="P861" i="9"/>
  <c r="P866" i="9"/>
  <c r="P508" i="9"/>
  <c r="P740" i="9"/>
  <c r="P653" i="9"/>
  <c r="P649" i="9"/>
  <c r="P655" i="9"/>
  <c r="P645" i="9"/>
  <c r="P781" i="9"/>
  <c r="P396" i="9"/>
  <c r="P457" i="9"/>
  <c r="P459" i="9"/>
  <c r="P197" i="9"/>
  <c r="P206" i="9"/>
  <c r="P429" i="9"/>
  <c r="P419" i="9"/>
  <c r="P763" i="9"/>
  <c r="P760" i="9"/>
  <c r="P766" i="9"/>
  <c r="P323" i="9"/>
  <c r="P228" i="9"/>
  <c r="P241" i="9"/>
  <c r="P274" i="9"/>
  <c r="P518" i="9"/>
  <c r="P650" i="9"/>
  <c r="P764" i="9"/>
  <c r="P335" i="9"/>
  <c r="P1103" i="9"/>
  <c r="P1015" i="9"/>
  <c r="P309" i="9"/>
  <c r="P474" i="9"/>
  <c r="P303" i="9"/>
  <c r="P944" i="9"/>
  <c r="P148" i="9"/>
  <c r="P352" i="9"/>
  <c r="P865" i="9"/>
  <c r="P239" i="9"/>
  <c r="P1122" i="9"/>
  <c r="P1019" i="9"/>
  <c r="P636" i="9"/>
  <c r="P603" i="9"/>
  <c r="P811" i="9"/>
  <c r="P805" i="9"/>
  <c r="P819" i="9"/>
  <c r="P833" i="9"/>
  <c r="P308" i="9"/>
  <c r="P683" i="9"/>
  <c r="P662" i="9"/>
  <c r="P1000" i="9"/>
  <c r="P1008" i="9"/>
  <c r="P169" i="9"/>
  <c r="P915" i="9"/>
  <c r="P445" i="9"/>
  <c r="P439" i="9"/>
  <c r="P801" i="9"/>
  <c r="P794" i="9"/>
  <c r="P904" i="9"/>
  <c r="P264" i="9"/>
  <c r="P943" i="9"/>
  <c r="P150" i="9"/>
  <c r="P612" i="9"/>
  <c r="P1056" i="9"/>
  <c r="P719" i="9"/>
  <c r="P348" i="9"/>
  <c r="P351" i="9"/>
  <c r="P541" i="9"/>
  <c r="P537" i="9"/>
  <c r="P1029" i="9"/>
  <c r="P1033" i="9"/>
  <c r="P691" i="9"/>
  <c r="P702" i="9"/>
  <c r="P523" i="9"/>
  <c r="P117" i="9"/>
  <c r="P143" i="9"/>
  <c r="P243" i="9"/>
  <c r="P859" i="9"/>
  <c r="P841" i="9"/>
  <c r="P844" i="9"/>
  <c r="P60" i="9"/>
  <c r="P741" i="9"/>
  <c r="P748" i="9"/>
  <c r="P774" i="9"/>
  <c r="P390" i="9"/>
  <c r="P399" i="9"/>
  <c r="P886" i="9"/>
  <c r="P895" i="9"/>
  <c r="P455" i="9"/>
  <c r="P422" i="9"/>
  <c r="P765" i="9"/>
  <c r="P336" i="9"/>
  <c r="P95" i="9"/>
  <c r="P1120" i="9"/>
  <c r="P1116" i="9"/>
  <c r="P1108" i="9"/>
  <c r="P1118" i="9"/>
  <c r="P629" i="9"/>
  <c r="P641" i="9"/>
  <c r="P290" i="9"/>
  <c r="P275" i="9"/>
  <c r="P412" i="9"/>
  <c r="P406" i="9"/>
  <c r="P415" i="9"/>
  <c r="P361" i="9"/>
  <c r="P600" i="9"/>
  <c r="P601" i="9"/>
  <c r="P607" i="9"/>
  <c r="P608" i="9"/>
  <c r="P815" i="9"/>
  <c r="P813" i="9"/>
  <c r="P320" i="9"/>
  <c r="P307" i="9"/>
  <c r="P1095" i="9"/>
  <c r="P1104" i="9"/>
  <c r="P483" i="9"/>
  <c r="P486" i="9"/>
  <c r="P682" i="9"/>
  <c r="P977" i="9"/>
  <c r="P975" i="9"/>
  <c r="P963" i="9"/>
  <c r="P664" i="9"/>
  <c r="P1002" i="9"/>
  <c r="P998" i="9"/>
  <c r="P165" i="9"/>
  <c r="P482" i="9"/>
  <c r="P925" i="9"/>
  <c r="P918" i="9"/>
  <c r="P928" i="9"/>
  <c r="P919" i="9"/>
  <c r="P437" i="9"/>
  <c r="P449" i="9"/>
  <c r="P435" i="9"/>
  <c r="P790" i="9"/>
  <c r="P789" i="9"/>
  <c r="P798" i="9"/>
  <c r="P906" i="9"/>
  <c r="P867" i="9"/>
  <c r="P294" i="9"/>
  <c r="P946" i="9"/>
  <c r="P736" i="9"/>
  <c r="P732" i="9"/>
  <c r="P733" i="9"/>
  <c r="P729" i="9"/>
  <c r="P1060" i="9"/>
  <c r="P1073" i="9"/>
  <c r="P149" i="9"/>
  <c r="P162" i="9"/>
  <c r="P190" i="9"/>
  <c r="P189" i="9"/>
  <c r="P191" i="9"/>
  <c r="P183" i="9"/>
  <c r="P223" i="9"/>
  <c r="P224" i="9"/>
  <c r="P380" i="9"/>
  <c r="P623" i="9"/>
  <c r="P618" i="9"/>
  <c r="P1054" i="9"/>
  <c r="P1052" i="9"/>
  <c r="P712" i="9"/>
  <c r="P713" i="9"/>
  <c r="P947" i="9"/>
  <c r="P949" i="9"/>
  <c r="P958" i="9"/>
  <c r="P952" i="9"/>
  <c r="P342" i="9"/>
  <c r="P354" i="9"/>
  <c r="P538" i="9"/>
  <c r="P545" i="9"/>
  <c r="P1036" i="9"/>
  <c r="P1040" i="9"/>
  <c r="P988" i="9"/>
  <c r="P692" i="9"/>
  <c r="P522" i="9"/>
  <c r="P520" i="9"/>
  <c r="P125" i="9"/>
  <c r="P131" i="9"/>
  <c r="P141" i="9"/>
  <c r="P253" i="9"/>
  <c r="P255" i="9"/>
  <c r="P855" i="9"/>
  <c r="P862" i="9"/>
  <c r="P849" i="9"/>
  <c r="P848" i="9"/>
  <c r="P500" i="9"/>
  <c r="P511" i="9"/>
  <c r="P506" i="9"/>
  <c r="P58" i="9"/>
  <c r="P57" i="9"/>
  <c r="P59" i="9"/>
  <c r="P743" i="9"/>
  <c r="P644" i="9"/>
  <c r="P657" i="9"/>
  <c r="P656" i="9"/>
  <c r="P786" i="9"/>
  <c r="P778" i="9"/>
  <c r="P398" i="9"/>
  <c r="P392" i="9"/>
  <c r="P456" i="9"/>
  <c r="P425" i="9"/>
  <c r="P1113" i="9"/>
  <c r="P1107" i="9"/>
  <c r="P1014" i="9"/>
  <c r="P1020" i="9"/>
  <c r="P1022" i="9"/>
  <c r="P628" i="9"/>
  <c r="P633" i="9"/>
  <c r="P640" i="9"/>
  <c r="P632" i="9"/>
  <c r="P286" i="9"/>
  <c r="P278" i="9"/>
  <c r="P285" i="9"/>
  <c r="P410" i="9"/>
  <c r="P413" i="9"/>
  <c r="P417" i="9"/>
  <c r="P407" i="9"/>
  <c r="P360" i="9"/>
  <c r="P365" i="9"/>
  <c r="P364" i="9"/>
  <c r="P359" i="9"/>
  <c r="P370" i="9"/>
  <c r="P369" i="9"/>
  <c r="P366" i="9"/>
  <c r="P597" i="9"/>
  <c r="P596" i="9"/>
  <c r="P610" i="9"/>
  <c r="P598" i="9"/>
  <c r="P817" i="9"/>
  <c r="P809" i="9"/>
  <c r="P816" i="9"/>
  <c r="P818" i="9"/>
  <c r="P827" i="9"/>
  <c r="P822" i="9"/>
  <c r="P830" i="9"/>
  <c r="P828" i="9"/>
  <c r="P825" i="9"/>
  <c r="P824" i="9"/>
  <c r="P311" i="9"/>
  <c r="P1105" i="9"/>
  <c r="P1101" i="9"/>
  <c r="P1106" i="9"/>
  <c r="P1100" i="9"/>
  <c r="P1093" i="9"/>
  <c r="P489" i="9"/>
  <c r="P495" i="9"/>
  <c r="P496" i="9"/>
  <c r="P485" i="9"/>
  <c r="P494" i="9"/>
  <c r="P484" i="9"/>
  <c r="P490" i="9"/>
  <c r="P497" i="9"/>
  <c r="P679" i="9"/>
  <c r="P688" i="9"/>
  <c r="P685" i="9"/>
  <c r="P686" i="9"/>
  <c r="P689" i="9"/>
  <c r="P968" i="9"/>
  <c r="P972" i="9"/>
  <c r="P974" i="9"/>
  <c r="P964" i="9"/>
  <c r="P661" i="9"/>
  <c r="P674" i="9"/>
  <c r="P667" i="9"/>
  <c r="P665" i="9"/>
  <c r="P1007" i="9"/>
  <c r="P1005" i="9"/>
  <c r="P1006" i="9"/>
  <c r="P995" i="9"/>
  <c r="P174" i="9"/>
  <c r="P175" i="9"/>
  <c r="P178" i="9"/>
  <c r="P176" i="9"/>
  <c r="P472" i="9"/>
  <c r="P476" i="9"/>
  <c r="P481" i="9"/>
  <c r="P921" i="9"/>
  <c r="P924" i="9"/>
  <c r="P443" i="9"/>
  <c r="P446" i="9"/>
  <c r="P436" i="9"/>
  <c r="P788" i="9"/>
  <c r="P787" i="9"/>
  <c r="P901" i="9"/>
  <c r="P900" i="9"/>
  <c r="P268" i="9"/>
  <c r="P272" i="9"/>
  <c r="P271" i="9"/>
  <c r="P265" i="9"/>
  <c r="P273" i="9"/>
  <c r="P880" i="9"/>
  <c r="P871" i="9"/>
  <c r="P878" i="9"/>
  <c r="P882" i="9"/>
  <c r="P306" i="9"/>
  <c r="P293" i="9"/>
  <c r="P302" i="9"/>
  <c r="P298" i="9"/>
  <c r="P934" i="9"/>
  <c r="P941" i="9"/>
  <c r="P936" i="9"/>
  <c r="P940" i="9"/>
  <c r="P724" i="9"/>
  <c r="P725" i="9"/>
  <c r="P726" i="9"/>
  <c r="P1063" i="9"/>
  <c r="P1065" i="9"/>
  <c r="P1068" i="9"/>
  <c r="P1070" i="9"/>
  <c r="P154" i="9"/>
  <c r="P186" i="9"/>
  <c r="P187" i="9"/>
  <c r="P192" i="9"/>
  <c r="P220" i="9"/>
  <c r="P226" i="9"/>
  <c r="P219" i="9"/>
  <c r="P214" i="9"/>
  <c r="P375" i="9"/>
  <c r="P378" i="9"/>
  <c r="P626" i="9"/>
  <c r="P611" i="9"/>
  <c r="P615" i="9"/>
  <c r="P614" i="9"/>
  <c r="P613" i="9"/>
  <c r="P619" i="9"/>
  <c r="P1048" i="9"/>
  <c r="P1051" i="9"/>
  <c r="P1046" i="9"/>
  <c r="P715" i="9"/>
  <c r="P714" i="9"/>
  <c r="P716" i="9"/>
  <c r="P707" i="9"/>
  <c r="P950" i="9"/>
  <c r="P959" i="9"/>
  <c r="P961" i="9"/>
  <c r="P960" i="9"/>
  <c r="P955" i="9"/>
  <c r="P350" i="9"/>
  <c r="P346" i="9"/>
  <c r="P343" i="9"/>
  <c r="P341" i="9"/>
  <c r="P340" i="9"/>
  <c r="P536" i="9"/>
  <c r="P544" i="9"/>
  <c r="P534" i="9"/>
  <c r="P546" i="9"/>
  <c r="P1032" i="9"/>
  <c r="P1037" i="9"/>
  <c r="P1031" i="9"/>
  <c r="P1038" i="9"/>
  <c r="P986" i="9"/>
  <c r="P983" i="9"/>
  <c r="P979" i="9"/>
  <c r="P984" i="9"/>
  <c r="P985" i="9"/>
  <c r="P994" i="9"/>
  <c r="P993" i="9"/>
  <c r="P704" i="9"/>
  <c r="P696" i="9"/>
  <c r="P524" i="9"/>
  <c r="P519" i="9"/>
  <c r="P115" i="9"/>
  <c r="P134" i="9"/>
  <c r="P142" i="9"/>
  <c r="P136" i="9"/>
  <c r="P138" i="9"/>
  <c r="P246" i="9"/>
  <c r="P245" i="9"/>
  <c r="P258" i="9"/>
  <c r="P864" i="9"/>
  <c r="P851" i="9"/>
  <c r="P852" i="9"/>
  <c r="P843" i="9"/>
  <c r="P850" i="9"/>
  <c r="P837" i="9"/>
  <c r="P507" i="9"/>
  <c r="P512" i="9"/>
  <c r="P499" i="9"/>
  <c r="P514" i="9"/>
  <c r="P505" i="9"/>
  <c r="P510" i="9"/>
  <c r="P52" i="9"/>
  <c r="P65" i="9"/>
  <c r="P55" i="9"/>
  <c r="P739" i="9"/>
  <c r="P749" i="9"/>
  <c r="P753" i="9"/>
  <c r="P752" i="9"/>
  <c r="P751" i="9"/>
  <c r="P651" i="9"/>
  <c r="P771" i="9"/>
  <c r="P784" i="9"/>
  <c r="P777" i="9"/>
  <c r="P780" i="9"/>
  <c r="P391" i="9"/>
  <c r="P402" i="9"/>
  <c r="P388" i="9"/>
  <c r="P393" i="9"/>
  <c r="P892" i="9"/>
  <c r="P894" i="9"/>
  <c r="P883" i="9"/>
  <c r="P890" i="9"/>
  <c r="P464" i="9"/>
  <c r="P453" i="9"/>
  <c r="P463" i="9"/>
  <c r="P461" i="9"/>
  <c r="P465" i="9"/>
  <c r="P466" i="9"/>
  <c r="P452" i="9"/>
  <c r="P198" i="9"/>
  <c r="P200" i="9"/>
  <c r="P201" i="9"/>
  <c r="P210" i="9"/>
  <c r="P203" i="9"/>
  <c r="P209" i="9"/>
  <c r="P432" i="9"/>
  <c r="P423" i="9"/>
  <c r="P755" i="9"/>
  <c r="P759" i="9"/>
  <c r="P758" i="9"/>
  <c r="P757" i="9"/>
  <c r="P333" i="9"/>
  <c r="P329" i="9"/>
  <c r="P331" i="9"/>
  <c r="P242" i="9"/>
  <c r="P230" i="9"/>
  <c r="P240" i="9"/>
  <c r="P235" i="9"/>
  <c r="P232" i="9"/>
  <c r="P234" i="9"/>
  <c r="P236" i="9"/>
  <c r="P238" i="9"/>
  <c r="P231" i="9"/>
  <c r="P88" i="9"/>
  <c r="P85" i="9"/>
  <c r="P87" i="9"/>
  <c r="P98" i="9"/>
  <c r="P83" i="9"/>
  <c r="P86" i="9"/>
  <c r="P90" i="9"/>
  <c r="P84" i="9"/>
  <c r="P94" i="9"/>
  <c r="P1018" i="9"/>
  <c r="P639" i="9"/>
  <c r="P284" i="9"/>
  <c r="P287" i="9"/>
  <c r="P595" i="9"/>
  <c r="P806" i="9"/>
  <c r="P814" i="9"/>
  <c r="P834" i="9"/>
  <c r="P321" i="9"/>
  <c r="P312" i="9"/>
  <c r="P315" i="9"/>
  <c r="P1092" i="9"/>
  <c r="P978" i="9"/>
  <c r="P660" i="9"/>
  <c r="P167" i="9"/>
  <c r="P166" i="9"/>
  <c r="P473" i="9"/>
  <c r="P916" i="9"/>
  <c r="P917" i="9"/>
  <c r="P448" i="9"/>
  <c r="P450" i="9"/>
  <c r="P792" i="9"/>
  <c r="P899" i="9"/>
  <c r="P905" i="9"/>
  <c r="P259" i="9"/>
  <c r="P260" i="9"/>
  <c r="P869" i="9"/>
  <c r="P932" i="9"/>
  <c r="P151" i="9"/>
  <c r="P194" i="9"/>
  <c r="P225" i="9"/>
  <c r="P218" i="9"/>
  <c r="P377" i="9"/>
  <c r="P624" i="9"/>
  <c r="P1047" i="9"/>
  <c r="P1043" i="9"/>
  <c r="P722" i="9"/>
  <c r="P951" i="9"/>
  <c r="P347" i="9"/>
  <c r="P1039" i="9"/>
  <c r="P1028" i="9"/>
  <c r="P981" i="9"/>
  <c r="P698" i="9"/>
  <c r="P697" i="9"/>
  <c r="P130" i="9"/>
  <c r="P116" i="9"/>
  <c r="P248" i="9"/>
  <c r="P257" i="9"/>
  <c r="P854" i="9"/>
  <c r="P860" i="9"/>
  <c r="P66" i="9"/>
  <c r="P51" i="9"/>
  <c r="P744" i="9"/>
  <c r="P643" i="9"/>
  <c r="P773" i="9"/>
  <c r="P775" i="9"/>
  <c r="P889" i="9"/>
  <c r="P462" i="9"/>
  <c r="P205" i="9"/>
  <c r="P769" i="9"/>
  <c r="P761" i="9"/>
  <c r="P326" i="9"/>
  <c r="P325" i="9"/>
  <c r="P334" i="9"/>
  <c r="P233" i="9"/>
  <c r="P96" i="9"/>
  <c r="P1114" i="9"/>
  <c r="P1119" i="9"/>
  <c r="P1112" i="9"/>
  <c r="P1013" i="9"/>
  <c r="P638" i="9"/>
  <c r="P637" i="9"/>
  <c r="P283" i="9"/>
  <c r="P289" i="9"/>
  <c r="P418" i="9"/>
  <c r="P362" i="9"/>
  <c r="P356" i="9"/>
  <c r="P368" i="9"/>
  <c r="P602" i="9"/>
  <c r="P606" i="9"/>
  <c r="P804" i="9"/>
  <c r="P812" i="9"/>
  <c r="P831" i="9"/>
  <c r="P823" i="9"/>
  <c r="P829" i="9"/>
  <c r="P317" i="9"/>
  <c r="P322" i="9"/>
  <c r="P313" i="9"/>
  <c r="P314" i="9"/>
  <c r="P1098" i="9"/>
  <c r="P1097" i="9"/>
  <c r="P491" i="9"/>
  <c r="P675" i="9"/>
  <c r="P676" i="9"/>
  <c r="P970" i="9"/>
  <c r="P663" i="9"/>
  <c r="P1010" i="9"/>
  <c r="P997" i="9"/>
  <c r="P171" i="9"/>
  <c r="P477" i="9"/>
  <c r="P480" i="9"/>
  <c r="P467" i="9"/>
  <c r="P923" i="9"/>
  <c r="P926" i="9"/>
  <c r="P920" i="9"/>
  <c r="P440" i="9"/>
  <c r="P442" i="9"/>
  <c r="P441" i="9"/>
  <c r="P795" i="9"/>
  <c r="P799" i="9"/>
  <c r="P793" i="9"/>
  <c r="P909" i="9"/>
  <c r="P261" i="9"/>
  <c r="P266" i="9"/>
  <c r="P263" i="9"/>
  <c r="P881" i="9"/>
  <c r="P297" i="9"/>
  <c r="P292" i="9"/>
  <c r="P299" i="9"/>
  <c r="P939" i="9"/>
  <c r="P937" i="9"/>
  <c r="P730" i="9"/>
  <c r="P723" i="9"/>
  <c r="P737" i="9"/>
  <c r="P735" i="9"/>
  <c r="P1061" i="9"/>
  <c r="P1064" i="9"/>
  <c r="P153" i="9"/>
  <c r="P155" i="9"/>
  <c r="P147" i="9"/>
  <c r="P156" i="9"/>
  <c r="P158" i="9"/>
  <c r="P193" i="9"/>
  <c r="P180" i="9"/>
  <c r="P181" i="9"/>
  <c r="P182" i="9"/>
  <c r="P371" i="9"/>
  <c r="P381" i="9"/>
  <c r="P383" i="9"/>
  <c r="P621" i="9"/>
  <c r="P1044" i="9"/>
  <c r="P1053" i="9"/>
  <c r="P1058" i="9"/>
  <c r="P711" i="9"/>
  <c r="P717" i="9"/>
  <c r="P957" i="9"/>
  <c r="P339" i="9"/>
  <c r="P531" i="9"/>
  <c r="P533" i="9"/>
  <c r="P1035" i="9"/>
  <c r="P1034" i="9"/>
  <c r="P992" i="9"/>
  <c r="P991" i="9"/>
  <c r="P706" i="9"/>
  <c r="P526" i="9"/>
  <c r="P528" i="9"/>
  <c r="P515" i="9"/>
  <c r="P129" i="9"/>
  <c r="P118" i="9"/>
  <c r="P135" i="9"/>
  <c r="P256" i="9"/>
  <c r="P247" i="9"/>
  <c r="P846" i="9"/>
  <c r="P838" i="9"/>
  <c r="P501" i="9"/>
  <c r="P502" i="9"/>
  <c r="P513" i="9"/>
  <c r="P503" i="9"/>
  <c r="P62" i="9"/>
  <c r="P54" i="9"/>
  <c r="P754" i="9"/>
  <c r="P658" i="9"/>
  <c r="P652" i="9"/>
  <c r="P779" i="9"/>
  <c r="P783" i="9"/>
  <c r="P397" i="9"/>
  <c r="P897" i="9"/>
  <c r="P891" i="9"/>
  <c r="P885" i="9"/>
  <c r="P458" i="9"/>
  <c r="P208" i="9"/>
  <c r="P195" i="9"/>
  <c r="P199" i="9"/>
  <c r="P196" i="9"/>
  <c r="P433" i="9"/>
  <c r="P424" i="9"/>
  <c r="P421" i="9"/>
  <c r="P431" i="9"/>
  <c r="P430" i="9"/>
  <c r="P762" i="9"/>
  <c r="P768" i="9"/>
  <c r="P770" i="9"/>
  <c r="P324" i="9"/>
  <c r="P338" i="9"/>
  <c r="P332" i="9"/>
  <c r="P327" i="9"/>
  <c r="P237" i="9"/>
  <c r="P229" i="9"/>
  <c r="P89" i="9"/>
  <c r="P97" i="9"/>
  <c r="P91" i="9"/>
  <c r="P1115" i="9"/>
  <c r="P1109" i="9"/>
  <c r="P1111" i="9"/>
  <c r="P1117" i="9"/>
  <c r="P1016" i="9"/>
  <c r="P1026" i="9"/>
  <c r="P1011" i="9"/>
  <c r="P1023" i="9"/>
  <c r="P1017" i="9"/>
  <c r="P1024" i="9"/>
  <c r="P635" i="9"/>
  <c r="P627" i="9"/>
  <c r="P642" i="9"/>
  <c r="P280" i="9"/>
  <c r="P282" i="9"/>
  <c r="P288" i="9"/>
  <c r="P279" i="9"/>
  <c r="P411" i="9"/>
  <c r="P414" i="9"/>
  <c r="P405" i="9"/>
  <c r="P416" i="9"/>
  <c r="P409" i="9"/>
  <c r="P367" i="9"/>
  <c r="P357" i="9"/>
  <c r="P355" i="9"/>
  <c r="P358" i="9"/>
  <c r="P605" i="9"/>
  <c r="P604" i="9"/>
  <c r="P599" i="9"/>
  <c r="P807" i="9"/>
  <c r="P803" i="9"/>
  <c r="P820" i="9"/>
  <c r="P316" i="9"/>
  <c r="P1099" i="9"/>
  <c r="P1094" i="9"/>
  <c r="P1096" i="9"/>
  <c r="P1102" i="9"/>
  <c r="P487" i="9"/>
  <c r="P492" i="9"/>
  <c r="P493" i="9"/>
  <c r="P684" i="9"/>
  <c r="P680" i="9"/>
  <c r="P678" i="9"/>
  <c r="P687" i="9"/>
  <c r="P971" i="9"/>
  <c r="P969" i="9"/>
  <c r="P967" i="9"/>
  <c r="P965" i="9"/>
  <c r="P976" i="9"/>
  <c r="P973" i="9"/>
  <c r="P668" i="9"/>
  <c r="P671" i="9"/>
  <c r="P673" i="9"/>
  <c r="P666" i="9"/>
  <c r="P672" i="9"/>
  <c r="P999" i="9"/>
  <c r="P1001" i="9"/>
  <c r="P1009" i="9"/>
  <c r="P996" i="9"/>
  <c r="P1003" i="9"/>
  <c r="P1004" i="9"/>
  <c r="P172" i="9"/>
  <c r="P173" i="9"/>
  <c r="P163" i="9"/>
  <c r="P177" i="9"/>
  <c r="P168" i="9"/>
  <c r="P164" i="9"/>
  <c r="P471" i="9"/>
  <c r="P475" i="9"/>
  <c r="P470" i="9"/>
  <c r="P468" i="9"/>
  <c r="P927" i="9"/>
  <c r="P930" i="9"/>
  <c r="P929" i="9"/>
  <c r="P438" i="9"/>
  <c r="P444" i="9"/>
  <c r="P447" i="9"/>
  <c r="P797" i="9"/>
  <c r="P800" i="9"/>
  <c r="P802" i="9"/>
  <c r="P913" i="9"/>
  <c r="P911" i="9"/>
  <c r="P912" i="9"/>
  <c r="P907" i="9"/>
  <c r="P908" i="9"/>
  <c r="P902" i="9"/>
  <c r="P270" i="9"/>
  <c r="P262" i="9"/>
  <c r="P267" i="9"/>
  <c r="P873" i="9"/>
  <c r="P879" i="9"/>
  <c r="P875" i="9"/>
  <c r="P872" i="9"/>
  <c r="P870" i="9"/>
  <c r="P300" i="9"/>
  <c r="P296" i="9"/>
  <c r="P304" i="9"/>
  <c r="P291" i="9"/>
  <c r="P305" i="9"/>
  <c r="P935" i="9"/>
  <c r="P942" i="9"/>
  <c r="P931" i="9"/>
  <c r="P731" i="9"/>
  <c r="P727" i="9"/>
  <c r="P738" i="9"/>
  <c r="P728" i="9"/>
  <c r="P1071" i="9"/>
  <c r="P1074" i="9"/>
  <c r="P1066" i="9"/>
  <c r="P1069" i="9"/>
  <c r="P1062" i="9"/>
  <c r="P1059" i="9"/>
  <c r="P161" i="9"/>
  <c r="P160" i="9"/>
  <c r="P152" i="9"/>
  <c r="P159" i="9"/>
  <c r="P185" i="9"/>
  <c r="P188" i="9"/>
  <c r="P179" i="9"/>
  <c r="P212" i="9"/>
  <c r="P215" i="9"/>
  <c r="P211" i="9"/>
  <c r="P221" i="9"/>
  <c r="P213" i="9"/>
  <c r="P385" i="9"/>
  <c r="P374" i="9"/>
  <c r="P386" i="9"/>
  <c r="P616" i="9"/>
  <c r="P625" i="9"/>
  <c r="P617" i="9"/>
  <c r="P620" i="9"/>
  <c r="P622" i="9"/>
  <c r="P1049" i="9"/>
  <c r="P1057" i="9"/>
  <c r="P1045" i="9"/>
  <c r="P720" i="9"/>
  <c r="P718" i="9"/>
  <c r="P710" i="9"/>
  <c r="P708" i="9"/>
  <c r="P709" i="9"/>
  <c r="P962" i="9"/>
  <c r="P953" i="9"/>
  <c r="P954" i="9"/>
  <c r="P956" i="9"/>
  <c r="P344" i="9"/>
  <c r="P349" i="9"/>
  <c r="P345" i="9"/>
  <c r="P535" i="9"/>
  <c r="P532" i="9"/>
  <c r="P539" i="9"/>
  <c r="P542" i="9"/>
  <c r="P543" i="9"/>
  <c r="P1042" i="9"/>
  <c r="P1027" i="9"/>
  <c r="P1030" i="9"/>
  <c r="P1041" i="9"/>
  <c r="P987" i="9"/>
  <c r="P990" i="9"/>
  <c r="P989" i="9"/>
  <c r="P694" i="9"/>
  <c r="P699" i="9"/>
  <c r="P700" i="9"/>
  <c r="P705" i="9"/>
  <c r="P693" i="9"/>
  <c r="P701" i="9"/>
  <c r="P703" i="9"/>
  <c r="P516" i="9"/>
  <c r="P527" i="9"/>
  <c r="P517" i="9"/>
  <c r="P529" i="9"/>
  <c r="P530" i="9"/>
  <c r="P122" i="9"/>
  <c r="P124" i="9"/>
  <c r="P121" i="9"/>
  <c r="P128" i="9"/>
  <c r="P119" i="9"/>
  <c r="P127" i="9"/>
  <c r="P123" i="9"/>
  <c r="P139" i="9"/>
  <c r="P145" i="9"/>
  <c r="P146" i="9"/>
  <c r="P144" i="9"/>
  <c r="P140" i="9"/>
  <c r="P244" i="9"/>
  <c r="P250" i="9"/>
  <c r="P254" i="9"/>
  <c r="P853" i="9"/>
  <c r="P858" i="9"/>
  <c r="P863" i="9"/>
  <c r="P842" i="9"/>
  <c r="P845" i="9"/>
  <c r="P835" i="9"/>
  <c r="P836" i="9"/>
  <c r="P839" i="9"/>
  <c r="P840" i="9"/>
  <c r="P847" i="9"/>
  <c r="P504" i="9"/>
  <c r="P509" i="9"/>
  <c r="P53" i="9"/>
  <c r="P64" i="9"/>
  <c r="P56" i="9"/>
  <c r="P61" i="9"/>
  <c r="P63" i="9"/>
  <c r="P746" i="9"/>
  <c r="P742" i="9"/>
  <c r="P747" i="9"/>
  <c r="P750" i="9"/>
  <c r="P745" i="9"/>
  <c r="P646" i="9"/>
  <c r="P654" i="9"/>
  <c r="P648" i="9"/>
  <c r="P647" i="9"/>
  <c r="P776" i="9"/>
  <c r="P785" i="9"/>
  <c r="P772" i="9"/>
  <c r="P782" i="9"/>
  <c r="P401" i="9"/>
  <c r="P395" i="9"/>
  <c r="P394" i="9"/>
  <c r="P387" i="9"/>
  <c r="P400" i="9"/>
  <c r="P389" i="9"/>
  <c r="P896" i="9"/>
  <c r="P887" i="9"/>
  <c r="P893" i="9"/>
  <c r="P888" i="9"/>
  <c r="P884" i="9"/>
  <c r="P898" i="9"/>
  <c r="P454" i="9"/>
  <c r="P460" i="9"/>
  <c r="P451" i="9"/>
  <c r="P202" i="9"/>
  <c r="P207" i="9"/>
  <c r="P204" i="9"/>
  <c r="P434" i="9"/>
  <c r="P427" i="9"/>
  <c r="P420" i="9"/>
  <c r="P428" i="9"/>
  <c r="P426" i="9"/>
  <c r="P756" i="9"/>
  <c r="P767" i="9"/>
  <c r="P330" i="9"/>
  <c r="P328" i="9"/>
  <c r="P337" i="9"/>
  <c r="P227" i="9"/>
  <c r="P93" i="9"/>
  <c r="P92" i="9"/>
  <c r="P114" i="5"/>
  <c r="P127" i="5"/>
  <c r="P124" i="5"/>
  <c r="P99" i="5"/>
  <c r="P111" i="5"/>
  <c r="P104" i="5"/>
  <c r="P116" i="5"/>
  <c r="P118" i="5"/>
  <c r="P131" i="5"/>
  <c r="P106" i="5"/>
  <c r="P102" i="5"/>
  <c r="P128" i="5"/>
  <c r="P115" i="5"/>
  <c r="P110" i="5"/>
  <c r="P120" i="5"/>
  <c r="O562" i="9"/>
  <c r="P98" i="5"/>
  <c r="P123" i="5"/>
  <c r="P133" i="5"/>
  <c r="O578" i="9"/>
  <c r="P101" i="5"/>
  <c r="P105" i="5"/>
  <c r="P117" i="5"/>
  <c r="P100" i="5"/>
  <c r="P112" i="5"/>
  <c r="P125" i="5"/>
  <c r="P103" i="5"/>
  <c r="P95" i="5"/>
  <c r="O136" i="5"/>
  <c r="N594" i="9"/>
  <c r="Y594" i="9"/>
  <c r="M562" i="9"/>
  <c r="X562" i="9"/>
  <c r="P136" i="5"/>
  <c r="O594" i="9"/>
  <c r="Z594" i="9"/>
  <c r="P578" i="9"/>
  <c r="Z578" i="9"/>
  <c r="P562" i="9"/>
  <c r="Z562" i="9"/>
  <c r="P594" i="9"/>
</calcChain>
</file>

<file path=xl/comments1.xml><?xml version="1.0" encoding="utf-8"?>
<comments xmlns="http://schemas.openxmlformats.org/spreadsheetml/2006/main">
  <authors>
    <author>Maya Kaczorowski</author>
    <author>Joni Waldron</author>
  </authors>
  <commentList>
    <comment ref="U2" authorId="0">
      <text>
        <r>
          <rPr>
            <b/>
            <sz val="9"/>
            <color indexed="81"/>
            <rFont val="Tahoma"/>
            <family val="2"/>
          </rPr>
          <t>Maya Kaczorowski:</t>
        </r>
        <r>
          <rPr>
            <sz val="9"/>
            <color indexed="81"/>
            <rFont val="Tahoma"/>
            <family val="2"/>
          </rPr>
          <t xml:space="preserve">
Choose how national costs should be split (costs are calculated nationally then split into regions, not calculated regionally then scaled up)</t>
        </r>
      </text>
    </comment>
    <comment ref="AN2" authorId="0">
      <text>
        <r>
          <rPr>
            <b/>
            <sz val="9"/>
            <color indexed="81"/>
            <rFont val="Tahoma"/>
            <family val="2"/>
          </rPr>
          <t>Maya Kaczorowski:</t>
        </r>
        <r>
          <rPr>
            <sz val="9"/>
            <color indexed="81"/>
            <rFont val="Tahoma"/>
            <family val="2"/>
          </rPr>
          <t xml:space="preserve">
Enter years of activity implementation separated by commas, e.g., 2015, 2017, 2019</t>
        </r>
      </text>
    </comment>
    <comment ref="C11" authorId="1">
      <text>
        <r>
          <rPr>
            <b/>
            <sz val="8"/>
            <color indexed="81"/>
            <rFont val="Tahoma"/>
            <family val="2"/>
          </rPr>
          <t>Joni Waldron:</t>
        </r>
        <r>
          <rPr>
            <sz val="8"/>
            <color indexed="81"/>
            <rFont val="Tahoma"/>
            <family val="2"/>
          </rPr>
          <t xml:space="preserve">
Cost inputs are daily expected values
</t>
        </r>
      </text>
    </comment>
    <comment ref="F25" authorId="0">
      <text>
        <r>
          <rPr>
            <b/>
            <sz val="9"/>
            <color indexed="81"/>
            <rFont val="Tahoma"/>
            <family val="2"/>
          </rPr>
          <t>Maya Kaczorowski:</t>
        </r>
        <r>
          <rPr>
            <sz val="9"/>
            <color indexed="81"/>
            <rFont val="Tahoma"/>
            <family val="2"/>
          </rPr>
          <t xml:space="preserve">
From provinces/regions to central level; override if flights or other transport is needed</t>
        </r>
      </text>
    </comment>
    <comment ref="G25" authorId="0">
      <text>
        <r>
          <rPr>
            <b/>
            <sz val="9"/>
            <color indexed="81"/>
            <rFont val="Tahoma"/>
            <family val="2"/>
          </rPr>
          <t>Maya Kaczorowski:</t>
        </r>
        <r>
          <rPr>
            <sz val="9"/>
            <color indexed="81"/>
            <rFont val="Tahoma"/>
            <family val="2"/>
          </rPr>
          <t xml:space="preserve">
From districts to provinces/regions</t>
        </r>
      </text>
    </comment>
    <comment ref="H25" authorId="0">
      <text>
        <r>
          <rPr>
            <b/>
            <sz val="9"/>
            <color indexed="81"/>
            <rFont val="Tahoma"/>
            <family val="2"/>
          </rPr>
          <t>Maya Kaczorowski:</t>
        </r>
        <r>
          <rPr>
            <sz val="9"/>
            <color indexed="81"/>
            <rFont val="Tahoma"/>
            <family val="2"/>
          </rPr>
          <t xml:space="preserve">
From local level to district centres</t>
        </r>
      </text>
    </comment>
    <comment ref="E43" authorId="0">
      <text>
        <r>
          <rPr>
            <b/>
            <sz val="9"/>
            <color indexed="81"/>
            <rFont val="Tahoma"/>
            <family val="2"/>
          </rPr>
          <t>Maya Kaczorowski:</t>
        </r>
        <r>
          <rPr>
            <sz val="9"/>
            <color indexed="81"/>
            <rFont val="Tahoma"/>
            <family val="2"/>
          </rPr>
          <t xml:space="preserve">
Not travelling, but fancier car at central level</t>
        </r>
      </text>
    </comment>
    <comment ref="N57" authorId="0">
      <text>
        <r>
          <rPr>
            <b/>
            <sz val="9"/>
            <color indexed="81"/>
            <rFont val="Tahoma"/>
            <family val="2"/>
          </rPr>
          <t>Maya Kaczorowski:</t>
        </r>
        <r>
          <rPr>
            <sz val="9"/>
            <color indexed="81"/>
            <rFont val="Tahoma"/>
            <family val="2"/>
          </rPr>
          <t xml:space="preserve">
If weekly on 3 channels, enter =3*52</t>
        </r>
      </text>
    </comment>
    <comment ref="F58" authorId="0">
      <text>
        <r>
          <rPr>
            <b/>
            <sz val="9"/>
            <color indexed="81"/>
            <rFont val="Tahoma"/>
            <family val="2"/>
          </rPr>
          <t>Maya Kaczorowski:</t>
        </r>
        <r>
          <rPr>
            <sz val="9"/>
            <color indexed="81"/>
            <rFont val="Tahoma"/>
            <family val="2"/>
          </rPr>
          <t xml:space="preserve">
Including actors, etc.</t>
        </r>
      </text>
    </comment>
    <comment ref="G58" authorId="0">
      <text>
        <r>
          <rPr>
            <b/>
            <sz val="9"/>
            <color indexed="81"/>
            <rFont val="Tahoma"/>
            <family val="2"/>
          </rPr>
          <t>Maya Kaczorowski:</t>
        </r>
        <r>
          <rPr>
            <sz val="9"/>
            <color indexed="81"/>
            <rFont val="Tahoma"/>
            <family val="2"/>
          </rPr>
          <t xml:space="preserve">
TV: ZNBC</t>
        </r>
      </text>
    </comment>
    <comment ref="H58" authorId="0">
      <text>
        <r>
          <rPr>
            <b/>
            <sz val="9"/>
            <color indexed="81"/>
            <rFont val="Tahoma"/>
            <family val="2"/>
          </rPr>
          <t>Maya Kaczorowski:</t>
        </r>
        <r>
          <rPr>
            <sz val="9"/>
            <color indexed="81"/>
            <rFont val="Tahoma"/>
            <family val="2"/>
          </rPr>
          <t xml:space="preserve">
TV: ZNBC TV2; Radio: ZNBC radio 2 and radio 4</t>
        </r>
      </text>
    </comment>
    <comment ref="I58" authorId="0">
      <text>
        <r>
          <rPr>
            <b/>
            <sz val="9"/>
            <color indexed="81"/>
            <rFont val="Tahoma"/>
            <family val="2"/>
          </rPr>
          <t>Maya Kaczorowski:</t>
        </r>
        <r>
          <rPr>
            <sz val="9"/>
            <color indexed="81"/>
            <rFont val="Tahoma"/>
            <family val="2"/>
          </rPr>
          <t xml:space="preserve">
Radio: Petauke Explorers, Zambezi FM</t>
        </r>
      </text>
    </comment>
    <comment ref="M70" authorId="0">
      <text>
        <r>
          <rPr>
            <b/>
            <sz val="9"/>
            <color indexed="81"/>
            <rFont val="Tahoma"/>
            <family val="2"/>
          </rPr>
          <t>Maya Kaczorowski:</t>
        </r>
        <r>
          <rPr>
            <sz val="9"/>
            <color indexed="81"/>
            <rFont val="Tahoma"/>
            <family val="2"/>
          </rPr>
          <t xml:space="preserve">
Sum across all campaigns, e.g., 1 for adolescent and 1 for LARC per year of implementation, enter 2 campaigns</t>
        </r>
      </text>
    </comment>
    <comment ref="M77" authorId="1">
      <text>
        <r>
          <rPr>
            <b/>
            <sz val="8"/>
            <color indexed="81"/>
            <rFont val="Tahoma"/>
            <family val="2"/>
          </rPr>
          <t>Joni Waldron: Documents will be provided primarily to organizations support persons with dissabilities, with a limited number available at health facilities</t>
        </r>
      </text>
    </comment>
    <comment ref="M78" authorId="0">
      <text>
        <r>
          <rPr>
            <b/>
            <sz val="9"/>
            <color indexed="81"/>
            <rFont val="Tahoma"/>
            <family val="2"/>
          </rPr>
          <t>Maya Kaczorowski:</t>
        </r>
        <r>
          <rPr>
            <sz val="9"/>
            <color indexed="81"/>
            <rFont val="Tahoma"/>
            <family val="2"/>
          </rPr>
          <t xml:space="preserve">
E.g., if one billboard and two posters to translate into five languages, enter =(1+2)*5</t>
        </r>
      </text>
    </comment>
    <comment ref="O89" authorId="0">
      <text>
        <r>
          <rPr>
            <b/>
            <sz val="9"/>
            <color indexed="81"/>
            <rFont val="Tahoma"/>
            <family val="2"/>
          </rPr>
          <t>Maya Kaczorowski:</t>
        </r>
        <r>
          <rPr>
            <sz val="9"/>
            <color indexed="81"/>
            <rFont val="Tahoma"/>
            <family val="2"/>
          </rPr>
          <t xml:space="preserve">
0 if same counselors do both phone and SMS line</t>
        </r>
      </text>
    </comment>
    <comment ref="F157" authorId="1">
      <text>
        <r>
          <rPr>
            <b/>
            <sz val="8"/>
            <color indexed="81"/>
            <rFont val="Tahoma"/>
            <family val="2"/>
          </rPr>
          <t>Joni Waldron:</t>
        </r>
        <r>
          <rPr>
            <sz val="8"/>
            <color indexed="81"/>
            <rFont val="Tahoma"/>
            <family val="2"/>
          </rPr>
          <t xml:space="preserve">
Two trainers each receiving a travel allowance to transport staff to other facilities as necessary to increase the number of insertions/injections</t>
        </r>
      </text>
    </comment>
    <comment ref="F158" authorId="1">
      <text>
        <r>
          <rPr>
            <b/>
            <sz val="8"/>
            <color indexed="81"/>
            <rFont val="Tahoma"/>
            <family val="2"/>
          </rPr>
          <t>Joni Waldron:</t>
        </r>
        <r>
          <rPr>
            <sz val="8"/>
            <color indexed="81"/>
            <rFont val="Tahoma"/>
            <family val="2"/>
          </rPr>
          <t xml:space="preserve">
Consumable Costs are assumed at 15 Injectables per trainee, 6 IUD insertions per traineed, and 6 sterilizations - but only for CO/s and MDs (half of  class).  All consumables are expected to be re-
used in trainings three times</t>
        </r>
      </text>
    </comment>
    <comment ref="M195" authorId="1">
      <text>
        <r>
          <rPr>
            <b/>
            <sz val="8"/>
            <color indexed="81"/>
            <rFont val="Tahoma"/>
            <family val="2"/>
          </rPr>
          <t>Joni - 
Commodities required for 5 patients for each provider</t>
        </r>
      </text>
    </comment>
    <comment ref="D205" authorId="0">
      <text>
        <r>
          <rPr>
            <b/>
            <sz val="9"/>
            <color indexed="81"/>
            <rFont val="Tahoma"/>
            <family val="2"/>
          </rPr>
          <t>Maya Kaczorowski:</t>
        </r>
        <r>
          <rPr>
            <sz val="9"/>
            <color indexed="81"/>
            <rFont val="Tahoma"/>
            <family val="2"/>
          </rPr>
          <t xml:space="preserve">
Assumed to include pilot of injectables and injectables scale-up</t>
        </r>
      </text>
    </comment>
    <comment ref="O236" authorId="1">
      <text>
        <r>
          <rPr>
            <b/>
            <sz val="8"/>
            <color indexed="81"/>
            <rFont val="Tahoma"/>
            <family val="2"/>
          </rPr>
          <t xml:space="preserve">Joni Waldron:
</t>
        </r>
        <r>
          <rPr>
            <sz val="8"/>
            <color indexed="81"/>
            <rFont val="Tahoma"/>
            <family val="2"/>
          </rPr>
          <t>Used the number of UHCs in the country as an estimate for the number of Youth Friendly Health Centres that will be instituted</t>
        </r>
      </text>
    </comment>
    <comment ref="J296" authorId="1">
      <text>
        <r>
          <rPr>
            <b/>
            <sz val="8"/>
            <color indexed="81"/>
            <rFont val="Tahoma"/>
            <family val="2"/>
          </rPr>
          <t>Joni Waldron:</t>
        </r>
        <r>
          <rPr>
            <sz val="8"/>
            <color indexed="81"/>
            <rFont val="Tahoma"/>
            <family val="2"/>
          </rPr>
          <t xml:space="preserve">
Volume Guarentees
</t>
        </r>
      </text>
    </comment>
    <comment ref="G372" authorId="0">
      <text>
        <r>
          <rPr>
            <b/>
            <sz val="9"/>
            <color indexed="81"/>
            <rFont val="Tahoma"/>
            <family val="2"/>
          </rPr>
          <t>Maya Kaczorowski:</t>
        </r>
        <r>
          <rPr>
            <sz val="9"/>
            <color indexed="81"/>
            <rFont val="Tahoma"/>
            <family val="2"/>
          </rPr>
          <t xml:space="preserve">
Including per diems, lodging, food allowance, etc.</t>
        </r>
      </text>
    </comment>
    <comment ref="G373" authorId="0">
      <text>
        <r>
          <rPr>
            <b/>
            <sz val="9"/>
            <color indexed="81"/>
            <rFont val="Tahoma"/>
            <family val="2"/>
          </rPr>
          <t>Maya Kaczorowski:</t>
        </r>
        <r>
          <rPr>
            <sz val="9"/>
            <color indexed="81"/>
            <rFont val="Tahoma"/>
            <family val="2"/>
          </rPr>
          <t xml:space="preserve">
Including per diems, lodging, food allowance, etc.</t>
        </r>
      </text>
    </comment>
    <comment ref="F488" authorId="0">
      <text>
        <r>
          <rPr>
            <b/>
            <sz val="9"/>
            <color indexed="81"/>
            <rFont val="Tahoma"/>
            <family val="2"/>
          </rPr>
          <t>Maya Kaczorowski:</t>
        </r>
        <r>
          <rPr>
            <sz val="9"/>
            <color indexed="81"/>
            <rFont val="Tahoma"/>
            <family val="2"/>
          </rPr>
          <t xml:space="preserve">
Printer/scanner/photocopier all-in-one</t>
        </r>
      </text>
    </comment>
    <comment ref="O501" authorId="0">
      <text>
        <r>
          <rPr>
            <b/>
            <sz val="9"/>
            <color indexed="81"/>
            <rFont val="Tahoma"/>
            <family val="2"/>
          </rPr>
          <t>Maya Kaczorowski:</t>
        </r>
        <r>
          <rPr>
            <sz val="9"/>
            <color indexed="81"/>
            <rFont val="Tahoma"/>
            <family val="2"/>
          </rPr>
          <t xml:space="preserve">
One session for orientation, one session for supervisory training</t>
        </r>
      </text>
    </comment>
    <comment ref="O516" authorId="0">
      <text>
        <r>
          <rPr>
            <b/>
            <sz val="9"/>
            <color indexed="81"/>
            <rFont val="Tahoma"/>
            <family val="2"/>
          </rPr>
          <t>Maya Kaczorowski:</t>
        </r>
        <r>
          <rPr>
            <sz val="9"/>
            <color indexed="81"/>
            <rFont val="Tahoma"/>
            <family val="2"/>
          </rPr>
          <t xml:space="preserve">
One session for orientation, one session for supervisory training</t>
        </r>
      </text>
    </comment>
  </commentList>
</comments>
</file>

<file path=xl/sharedStrings.xml><?xml version="1.0" encoding="utf-8"?>
<sst xmlns="http://schemas.openxmlformats.org/spreadsheetml/2006/main" count="3370" uniqueCount="868">
  <si>
    <t>Unit cost inputs</t>
  </si>
  <si>
    <t>Radio</t>
  </si>
  <si>
    <t>Program creation</t>
  </si>
  <si>
    <t>30 sec promo</t>
  </si>
  <si>
    <t>10 min show</t>
  </si>
  <si>
    <t>2 min promo</t>
  </si>
  <si>
    <t>TV</t>
  </si>
  <si>
    <t>30 min show</t>
  </si>
  <si>
    <t>2 hr documentary</t>
  </si>
  <si>
    <t>Poster</t>
  </si>
  <si>
    <t>Billboard</t>
  </si>
  <si>
    <t>Printing</t>
  </si>
  <si>
    <t>Design/creation</t>
  </si>
  <si>
    <t>Printing + installation cost</t>
  </si>
  <si>
    <t>Printing cost</t>
  </si>
  <si>
    <t>per unit</t>
  </si>
  <si>
    <t>per promotion</t>
  </si>
  <si>
    <t>per day</t>
  </si>
  <si>
    <t>Per diem</t>
  </si>
  <si>
    <t>Press release</t>
  </si>
  <si>
    <t>Media coverage</t>
  </si>
  <si>
    <t>Country specifics</t>
  </si>
  <si>
    <t>Districts</t>
  </si>
  <si>
    <t>Population</t>
  </si>
  <si>
    <t>Health posts</t>
  </si>
  <si>
    <t>Province/region 1</t>
  </si>
  <si>
    <t>Provinces/regions</t>
  </si>
  <si>
    <t>Province/region 2</t>
  </si>
  <si>
    <t>Province/region 3</t>
  </si>
  <si>
    <t>Province/region 4</t>
  </si>
  <si>
    <t>Province/region 5</t>
  </si>
  <si>
    <t>Province/region 6</t>
  </si>
  <si>
    <t>Province/region 7</t>
  </si>
  <si>
    <t>Province/region 8</t>
  </si>
  <si>
    <t>Province/region 9</t>
  </si>
  <si>
    <t>Province/region 10</t>
  </si>
  <si>
    <t>Province/region 11</t>
  </si>
  <si>
    <t>Province/region 12</t>
  </si>
  <si>
    <t>Province/region 13</t>
  </si>
  <si>
    <t>Province/region 14</t>
  </si>
  <si>
    <t>Province/region 15</t>
  </si>
  <si>
    <t>Country total</t>
  </si>
  <si>
    <t>Health centres - urban</t>
  </si>
  <si>
    <t>Health centres - rural</t>
  </si>
  <si>
    <t>Years covered in plan</t>
  </si>
  <si>
    <t>Number</t>
  </si>
  <si>
    <t>First year of plan</t>
  </si>
  <si>
    <t>Level 1 meeting</t>
  </si>
  <si>
    <t>- Advocacy</t>
  </si>
  <si>
    <t>- Campaign</t>
  </si>
  <si>
    <t>Level 2 meeting</t>
  </si>
  <si>
    <t>Level 3 meeting</t>
  </si>
  <si>
    <t>Level 4 meeting</t>
  </si>
  <si>
    <t>- National-level training</t>
  </si>
  <si>
    <t>- Training of trainers</t>
  </si>
  <si>
    <t>- Provincial-level training</t>
  </si>
  <si>
    <t>- District-level training</t>
  </si>
  <si>
    <t>- Supervision/ coordination</t>
  </si>
  <si>
    <t>Room rental</t>
  </si>
  <si>
    <t>Cost per attendee</t>
  </si>
  <si>
    <t>Meeting facilitator/ trainer</t>
  </si>
  <si>
    <t>Meeting attendee/ trainee</t>
  </si>
  <si>
    <t>Tea + snacks</t>
  </si>
  <si>
    <t>Lunch</t>
  </si>
  <si>
    <r>
      <t xml:space="preserve">Per diem </t>
    </r>
    <r>
      <rPr>
        <b/>
        <i/>
        <sz val="11"/>
        <color theme="3"/>
        <rFont val="Calibri"/>
        <family val="2"/>
        <scheme val="minor"/>
      </rPr>
      <t>(including lodging and food allowance)</t>
    </r>
  </si>
  <si>
    <t>"Kits" of paper, pens, etc.</t>
  </si>
  <si>
    <t>Driver</t>
  </si>
  <si>
    <t>Data entry</t>
  </si>
  <si>
    <t>Consultant</t>
  </si>
  <si>
    <t>T-shirt</t>
  </si>
  <si>
    <t>Bus rental</t>
  </si>
  <si>
    <t>Chitenge</t>
  </si>
  <si>
    <t>Vehicle</t>
  </si>
  <si>
    <t>Truck</t>
  </si>
  <si>
    <t>Male condom</t>
  </si>
  <si>
    <t>Female condom</t>
  </si>
  <si>
    <t>Pills COC</t>
  </si>
  <si>
    <t>Pills COP</t>
  </si>
  <si>
    <t>Injectable</t>
  </si>
  <si>
    <t>Implant Jadelle</t>
  </si>
  <si>
    <t>Implant Sinoplant</t>
  </si>
  <si>
    <t>Implant Implanon</t>
  </si>
  <si>
    <t>IUD</t>
  </si>
  <si>
    <t>Implant consumables</t>
  </si>
  <si>
    <t>IUD consumables (sparadrap, compresses, bétadine, gants, coton, eau de javel, etc.)</t>
  </si>
  <si>
    <t>Female sterilization consumables</t>
  </si>
  <si>
    <t>Male sterilization consumables</t>
  </si>
  <si>
    <t>Patient book</t>
  </si>
  <si>
    <t>Stock book</t>
  </si>
  <si>
    <t>Referral book</t>
  </si>
  <si>
    <t>Explanatory flyer/handbook</t>
  </si>
  <si>
    <t>Explanatory kits (condom demonstration model, IUD demonstration model)</t>
  </si>
  <si>
    <t>Plastic uterus (for IUDs)</t>
  </si>
  <si>
    <t>Plastic arm (for implants)</t>
  </si>
  <si>
    <t>ZOE gynecological simulator</t>
  </si>
  <si>
    <t>Toll</t>
  </si>
  <si>
    <t>Privacy screen</t>
  </si>
  <si>
    <t>Autoclave</t>
  </si>
  <si>
    <t>Storage shelf</t>
  </si>
  <si>
    <t>Pallet</t>
  </si>
  <si>
    <t>Generator</t>
  </si>
  <si>
    <t>Air conditioning unit</t>
  </si>
  <si>
    <t>Lighting</t>
  </si>
  <si>
    <t>Desk</t>
  </si>
  <si>
    <t>Chair</t>
  </si>
  <si>
    <t>Bookshelf</t>
  </si>
  <si>
    <t>Projector</t>
  </si>
  <si>
    <t>Printer</t>
  </si>
  <si>
    <t>Scanner</t>
  </si>
  <si>
    <t>Fire extinguisher</t>
  </si>
  <si>
    <t>Ladder</t>
  </si>
  <si>
    <t>Calculated from full list below</t>
  </si>
  <si>
    <t>Consumables</t>
  </si>
  <si>
    <t>Publication</t>
  </si>
  <si>
    <t>Translation</t>
  </si>
  <si>
    <t>Master of ceremonies</t>
  </si>
  <si>
    <t>Hostess</t>
  </si>
  <si>
    <t>Security</t>
  </si>
  <si>
    <t>Invitation card</t>
  </si>
  <si>
    <t>Printer toner</t>
  </si>
  <si>
    <t>Technical support - clinical</t>
  </si>
  <si>
    <t>Secretarial support</t>
  </si>
  <si>
    <t>per year</t>
  </si>
  <si>
    <t>Secretariat/ secretary</t>
  </si>
  <si>
    <t>Desktop computer</t>
  </si>
  <si>
    <t>Laptop computer</t>
  </si>
  <si>
    <t>National</t>
  </si>
  <si>
    <t>Provincial/regional</t>
  </si>
  <si>
    <t>Fuel</t>
  </si>
  <si>
    <t># times replaced per year</t>
  </si>
  <si>
    <t>Bin liners</t>
  </si>
  <si>
    <t>Bucket</t>
  </si>
  <si>
    <t>Raincoat</t>
  </si>
  <si>
    <t>Bicycle</t>
  </si>
  <si>
    <t>Miscellaneous office supplies (paper, pen, etc.)</t>
  </si>
  <si>
    <t>per service delivery point (not including CBDs)</t>
  </si>
  <si>
    <t>per service delivery point (including CBDs)</t>
  </si>
  <si>
    <t>Cost per litre</t>
  </si>
  <si>
    <t>Litres per km</t>
  </si>
  <si>
    <t>Distances (km)</t>
  </si>
  <si>
    <t>Central</t>
  </si>
  <si>
    <t>Standardized circuits</t>
  </si>
  <si>
    <t>Errands tour (e.g., for meetings)</t>
  </si>
  <si>
    <t>In a newspaper</t>
  </si>
  <si>
    <t>Attendees per meeting</t>
  </si>
  <si>
    <t>Software license</t>
  </si>
  <si>
    <t>Total costs</t>
  </si>
  <si>
    <t>Demand</t>
  </si>
  <si>
    <t>Overall country information</t>
  </si>
  <si>
    <t>Mass SMS</t>
  </si>
  <si>
    <t>per 1000 SMS</t>
  </si>
  <si>
    <t>Website</t>
  </si>
  <si>
    <t>Hosting</t>
  </si>
  <si>
    <t>per website</t>
  </si>
  <si>
    <t>Luapula</t>
  </si>
  <si>
    <t>Muchinga</t>
  </si>
  <si>
    <t>Copperbelt</t>
  </si>
  <si>
    <t>Eastern</t>
  </si>
  <si>
    <t>Lusaka</t>
  </si>
  <si>
    <t>Northern</t>
  </si>
  <si>
    <t>North Western</t>
  </si>
  <si>
    <t>Southern</t>
  </si>
  <si>
    <t>Western</t>
  </si>
  <si>
    <t>Include</t>
  </si>
  <si>
    <t>Number, &lt;=15</t>
  </si>
  <si>
    <t>Number, &lt;=10</t>
  </si>
  <si>
    <t># of programs</t>
  </si>
  <si>
    <t>Broadcast frequency</t>
  </si>
  <si>
    <t>Local/district</t>
  </si>
  <si>
    <t>Broadcasting</t>
  </si>
  <si>
    <t>WRA</t>
  </si>
  <si>
    <t>Years of implementation</t>
  </si>
  <si>
    <t>Years of costs (pull values for calculation)</t>
  </si>
  <si>
    <t>Total yearly cost</t>
  </si>
  <si>
    <t>Regional split</t>
  </si>
  <si>
    <t>Cost splits</t>
  </si>
  <si>
    <t>Central level</t>
  </si>
  <si>
    <t>Evenly by province/region</t>
  </si>
  <si>
    <t>Country-level</t>
  </si>
  <si>
    <t>National-level</t>
  </si>
  <si>
    <t>per event</t>
  </si>
  <si>
    <t>Helpline</t>
  </si>
  <si>
    <t>Phone</t>
  </si>
  <si>
    <t>SMS</t>
  </si>
  <si>
    <t>Promotions/Campaigns</t>
  </si>
  <si>
    <t>Quantity inputs (per year of implementation)</t>
  </si>
  <si>
    <t>Number of events</t>
  </si>
  <si>
    <t>Number of articles published</t>
  </si>
  <si>
    <t>Number of press releases</t>
  </si>
  <si>
    <t>Daily cost, including per diem, lodging and food</t>
  </si>
  <si>
    <t>Peer educators</t>
  </si>
  <si>
    <t>per item</t>
  </si>
  <si>
    <t>Services</t>
  </si>
  <si>
    <t>Counselor for helpline (both phone and SMS)</t>
  </si>
  <si>
    <t>Per year (annual salary)</t>
  </si>
  <si>
    <t>Service delivery and access</t>
  </si>
  <si>
    <t>Number of groups</t>
  </si>
  <si>
    <t>Compensation to discussion leaders, if applicable (per diems, electricity, etc.)</t>
  </si>
  <si>
    <t>Per leader</t>
  </si>
  <si>
    <t>Discussion materials (printed booklets, etc.)</t>
  </si>
  <si>
    <t>Other materials, if applicable (chitenges, radios, etc.)</t>
  </si>
  <si>
    <t>Hosting per year</t>
  </si>
  <si>
    <t>Total per group, annually</t>
  </si>
  <si>
    <t>Printed items such as posters should be included in "Advertising and printed materials"</t>
  </si>
  <si>
    <t>Hat</t>
  </si>
  <si>
    <t>Number of campaigns per year, nationally</t>
  </si>
  <si>
    <t>Billboard units per promotion/campaign</t>
  </si>
  <si>
    <t>Poster units per promotion/campaign</t>
  </si>
  <si>
    <t>Flyer units per promotion/campaign</t>
  </si>
  <si>
    <t>Tshirts per campaign</t>
  </si>
  <si>
    <t>Hats per campaign</t>
  </si>
  <si>
    <t>Chitenges per campaign</t>
  </si>
  <si>
    <t>Criers per campaign</t>
  </si>
  <si>
    <t>Number of days per crier</t>
  </si>
  <si>
    <t># phone lines</t>
  </si>
  <si>
    <t># SMS lines</t>
  </si>
  <si>
    <t># counselors per phone line</t>
  </si>
  <si>
    <t># counselors per SMS line</t>
  </si>
  <si>
    <t>Thousands of people reached via SMS</t>
  </si>
  <si>
    <t>SMS campaigns</t>
  </si>
  <si>
    <t># websites</t>
  </si>
  <si>
    <t>Design/creation/updating</t>
  </si>
  <si>
    <t>2013; 2014; 2015; 2016; 2017; 2018; 2019; 2020</t>
  </si>
  <si>
    <t># of consultants</t>
  </si>
  <si>
    <t># of days each</t>
  </si>
  <si>
    <t># of participants</t>
  </si>
  <si>
    <t>Meeting level</t>
  </si>
  <si>
    <t>See costs in meeting section above</t>
  </si>
  <si>
    <t>Curriculum review meeting</t>
  </si>
  <si>
    <t># per year</t>
  </si>
  <si>
    <t>Educational materials</t>
  </si>
  <si>
    <t>Training</t>
  </si>
  <si>
    <t>Compensation, if applicable (e.g., money, hats, bicycles)</t>
  </si>
  <si>
    <t>Schoolteachers</t>
  </si>
  <si>
    <t>Training providers in FP generally</t>
  </si>
  <si>
    <t>Training providers in LARC specifically</t>
  </si>
  <si>
    <t>Training reporters</t>
  </si>
  <si>
    <t>Development</t>
  </si>
  <si>
    <t>Meeting</t>
  </si>
  <si>
    <t>Review and approval</t>
  </si>
  <si>
    <t>Training of trainers</t>
  </si>
  <si>
    <t>Training meeting</t>
  </si>
  <si>
    <t>In-service training curriculum review</t>
  </si>
  <si>
    <t>Pre-service training curriculum review, esp. to add LARCs</t>
  </si>
  <si>
    <t>Curriculum review and approval</t>
  </si>
  <si>
    <t>Costs repeating in a number of areas</t>
  </si>
  <si>
    <t>Meetings</t>
  </si>
  <si>
    <t>Referenced in the cost input, as varies by meeting</t>
  </si>
  <si>
    <t>Applies to all per diem participants</t>
  </si>
  <si>
    <t>Does not apply to hostess, security or driver</t>
  </si>
  <si>
    <t>2x per day (all 0.5 day meetings &gt;=2 hours)</t>
  </si>
  <si>
    <t>1x per day (all 1+ day meetings &gt;= 1 day)</t>
  </si>
  <si>
    <t>Meeting length (days)</t>
  </si>
  <si>
    <t>1x per meeting</t>
  </si>
  <si>
    <t>Frequency</t>
  </si>
  <si>
    <t>Eligible attendees</t>
  </si>
  <si>
    <t>Applies only to meeting attendees</t>
  </si>
  <si>
    <t>Storage equipment</t>
  </si>
  <si>
    <t>Number of buses</t>
  </si>
  <si>
    <t>Driver (meeting errands, not transportation</t>
  </si>
  <si>
    <t>Travel allowance for attendees (including driver, if applicable)</t>
  </si>
  <si>
    <t>4x4</t>
  </si>
  <si>
    <t>Procurement and supply chain</t>
  </si>
  <si>
    <t>Policy and environment</t>
  </si>
  <si>
    <t>Financing</t>
  </si>
  <si>
    <t>Financing advocacy meetings</t>
  </si>
  <si>
    <t>Transportation</t>
  </si>
  <si>
    <t>Category of costs</t>
  </si>
  <si>
    <t>pages per attendee</t>
  </si>
  <si>
    <t>Document printing - black and white pages</t>
  </si>
  <si>
    <t>Town crier</t>
  </si>
  <si>
    <t>Allowances (lunch, travel, etc.)</t>
  </si>
  <si>
    <t>HCWs per campaign</t>
  </si>
  <si>
    <t>Number of days per HCW</t>
  </si>
  <si>
    <t>New curriculum</t>
  </si>
  <si>
    <t># of documents</t>
  </si>
  <si>
    <t>cost per document (cost per page x # of pages + binding)</t>
  </si>
  <si>
    <t>Building/ infrastructure</t>
  </si>
  <si>
    <t>Counselor</t>
  </si>
  <si>
    <t>Salary</t>
  </si>
  <si>
    <t># of counselors per centre</t>
  </si>
  <si>
    <t># of centres</t>
  </si>
  <si>
    <t>copies per centre</t>
  </si>
  <si>
    <t>Train in FP supervision</t>
  </si>
  <si>
    <t># needed per training</t>
  </si>
  <si>
    <t>Times per campaign</t>
  </si>
  <si>
    <t>Movie projection and other audiovisual</t>
  </si>
  <si>
    <t>Equipment rental</t>
  </si>
  <si>
    <t>Healthcare equipment</t>
  </si>
  <si>
    <t># of days</t>
  </si>
  <si>
    <t>Circuit length x L/km x cost per L</t>
  </si>
  <si>
    <t>Daily allowance</t>
  </si>
  <si>
    <t># of outreach points</t>
  </si>
  <si>
    <t>per outreach point</t>
  </si>
  <si>
    <t># of days per outreach visit</t>
  </si>
  <si>
    <t># of outreach visits per year per outreach point</t>
  </si>
  <si>
    <t>Rainboots (gum boots)</t>
  </si>
  <si>
    <t>Bag</t>
  </si>
  <si>
    <t>Transportation costs</t>
  </si>
  <si>
    <t>Umbrella</t>
  </si>
  <si>
    <t>Monthly stipend, including lunch allowance</t>
  </si>
  <si>
    <t>Monthly</t>
  </si>
  <si>
    <t>HCWs, including CBDs</t>
  </si>
  <si>
    <t>Daily supervision stipend, including lunch allowance</t>
  </si>
  <si>
    <t>Mentorship</t>
  </si>
  <si>
    <t># of days per visit</t>
  </si>
  <si>
    <t># of sites to visit</t>
  </si>
  <si>
    <t>Daily mentorship stipend, including lunch allowance</t>
  </si>
  <si>
    <t># of points refurbished</t>
  </si>
  <si>
    <t>Parking</t>
  </si>
  <si>
    <t>Cost as a percentage of commodities procured</t>
  </si>
  <si>
    <t>Procurement forecasting</t>
  </si>
  <si>
    <t>Forecasting review meetings</t>
  </si>
  <si>
    <t># of truck</t>
  </si>
  <si>
    <t># of 4x4s</t>
  </si>
  <si>
    <t>per vehicle</t>
  </si>
  <si>
    <t>Vehicle maintenance</t>
  </si>
  <si>
    <t># of vehicles</t>
  </si>
  <si>
    <t>maintenance visits per year</t>
  </si>
  <si>
    <t>Infrastructure</t>
  </si>
  <si>
    <t>Priority</t>
  </si>
  <si>
    <t>per vehicle per circuit</t>
  </si>
  <si>
    <t># of circuit visits per year</t>
  </si>
  <si>
    <t>per driver, annually</t>
  </si>
  <si>
    <t>Building - principal hub</t>
  </si>
  <si>
    <t>Building - district/local hub</t>
  </si>
  <si>
    <t>Building - provincial/regional hub</t>
  </si>
  <si>
    <t>Building - facility level</t>
  </si>
  <si>
    <t># needed per point</t>
  </si>
  <si>
    <t># for implants</t>
  </si>
  <si>
    <t># for IUDs</t>
  </si>
  <si>
    <t># for female sterilization</t>
  </si>
  <si>
    <t># for male sterilization</t>
  </si>
  <si>
    <t>Attending international meetings (e.g., Women Deliver)</t>
  </si>
  <si>
    <t># of trips</t>
  </si>
  <si>
    <t>participants per trip</t>
  </si>
  <si>
    <t>daily</t>
  </si>
  <si>
    <t>return (flight, bus, etc.)</t>
  </si>
  <si>
    <t>Daily allowances</t>
  </si>
  <si>
    <t># required</t>
  </si>
  <si>
    <t># times per year</t>
  </si>
  <si>
    <t>per book</t>
  </si>
  <si>
    <t>Patient FP cards</t>
  </si>
  <si>
    <t>per card</t>
  </si>
  <si>
    <t># of users (expected)</t>
  </si>
  <si>
    <t>Explanatory kits + handbooks included in FP equipment</t>
  </si>
  <si>
    <t>Mid-way plan review</t>
  </si>
  <si>
    <t>Final plan review</t>
  </si>
  <si>
    <t>Data analysis</t>
  </si>
  <si>
    <t>Results review</t>
  </si>
  <si>
    <t>Training interviewers</t>
  </si>
  <si>
    <t>Consultant to develop</t>
  </si>
  <si>
    <t>Collection equipment (laptops, pens, etc.)</t>
  </si>
  <si>
    <t>Final results</t>
  </si>
  <si>
    <t>Dissemination/launch</t>
  </si>
  <si>
    <t># of data entry specialists</t>
  </si>
  <si>
    <t># of data analysts</t>
  </si>
  <si>
    <t>Survey interviewer/data collection</t>
  </si>
  <si>
    <t>per interviewee</t>
  </si>
  <si>
    <t>Compensation for interviewees</t>
  </si>
  <si>
    <t># of interviewees</t>
  </si>
  <si>
    <t>per interviewer</t>
  </si>
  <si>
    <t># of interviewers</t>
  </si>
  <si>
    <t>per B+W page</t>
  </si>
  <si>
    <t># of pages</t>
  </si>
  <si>
    <t># of copies</t>
  </si>
  <si>
    <t>Printing surveys</t>
  </si>
  <si>
    <t>Printing interview guide</t>
  </si>
  <si>
    <t>Forms for data collection</t>
  </si>
  <si>
    <t># of invigilators</t>
  </si>
  <si>
    <t># of surveys/investigations</t>
  </si>
  <si>
    <t>Review of tool developed</t>
  </si>
  <si>
    <t>Approval of survey (e.g., ethics review board)</t>
  </si>
  <si>
    <t>Central to provincial/regional</t>
  </si>
  <si>
    <t>Provincial/regional to district/local</t>
  </si>
  <si>
    <t>District/local to health centres</t>
  </si>
  <si>
    <t>District/local to health posts</t>
  </si>
  <si>
    <t>Health centres to CBDs</t>
  </si>
  <si>
    <t># of supervisors</t>
  </si>
  <si>
    <t># of days (length of visit)</t>
  </si>
  <si>
    <t># of times per year per site</t>
  </si>
  <si>
    <t>Travel costs (gas, driver, etc.)</t>
  </si>
  <si>
    <t>Cost per circuit (national to provincial/regional)</t>
  </si>
  <si>
    <t>Cost per circuit (provincial/regional to district/local)</t>
  </si>
  <si>
    <t>Cost per circuit (district/local to health centres)</t>
  </si>
  <si>
    <t>Cost per circuit (health centres to CBDs)</t>
  </si>
  <si>
    <t>Post-training mentorship</t>
  </si>
  <si>
    <t>Costed separately due to no per-diems or travel expenses</t>
  </si>
  <si>
    <t># of meetings per year</t>
  </si>
  <si>
    <t>Train CBDs</t>
  </si>
  <si>
    <t># per CBD</t>
  </si>
  <si>
    <t>Training providers in FP logistics and procurement</t>
  </si>
  <si>
    <t>National supervisory review</t>
  </si>
  <si>
    <t>Provincial/regional supervisory review</t>
  </si>
  <si>
    <t>District/local supervisory review</t>
  </si>
  <si>
    <t>Survey proctor/invigilator</t>
  </si>
  <si>
    <t>Overhead/fixed</t>
  </si>
  <si>
    <t># attendees</t>
  </si>
  <si>
    <t># attendees + facilitators + secretary + MC</t>
  </si>
  <si>
    <t>Other per diems</t>
  </si>
  <si>
    <t>Costs instructional</t>
  </si>
  <si>
    <t>One-time</t>
  </si>
  <si>
    <t>Per day</t>
  </si>
  <si>
    <t>Travel + invitation</t>
  </si>
  <si>
    <t>Attendee per diems</t>
  </si>
  <si>
    <t>People attending</t>
  </si>
  <si>
    <t># facilitators + secretary + MC</t>
  </si>
  <si>
    <t># facilitators + secretary + MC + hostess + security + driver</t>
  </si>
  <si>
    <t>Length</t>
  </si>
  <si>
    <t>&gt;=1 day</t>
  </si>
  <si>
    <t>&gt;= 0,5 day</t>
  </si>
  <si>
    <t>lunch and two teas</t>
  </si>
  <si>
    <t>one tea</t>
  </si>
  <si>
    <t>Campaigns</t>
  </si>
  <si>
    <t>Rent</t>
  </si>
  <si>
    <t>Annual salary</t>
  </si>
  <si>
    <t># of sites to visit from each training</t>
  </si>
  <si>
    <t>2014; 2015; 2016; 2017; 2018; 2019; 2020</t>
  </si>
  <si>
    <t># newly trained CBDs</t>
  </si>
  <si>
    <t>#CBDs being replenished</t>
  </si>
  <si>
    <t>Towel drape, 46cm x  61cm</t>
  </si>
  <si>
    <t>Forceps, sponge, straight, serrated jaws 24cm</t>
  </si>
  <si>
    <t>Forceps, haemostatic, Halsted-Mosquito, curved 12.5cm</t>
  </si>
  <si>
    <t>Scissors, Mayo, 23cm</t>
  </si>
  <si>
    <t>Forceps, Tissue, 1:2 14cm</t>
  </si>
  <si>
    <t>Handle for surgical blade, no. 3 (minor surgery)</t>
  </si>
  <si>
    <t>Speculum, Graves, Medium</t>
  </si>
  <si>
    <t>Sound, uterine</t>
  </si>
  <si>
    <t>per health centre+</t>
  </si>
  <si>
    <t>per health post+</t>
  </si>
  <si>
    <t>per CBD+</t>
  </si>
  <si>
    <t>Gloves, nonsterile, size Medium (each)</t>
  </si>
  <si>
    <t>Betadine solution 500ml</t>
  </si>
  <si>
    <t>Gloves, surgical, sterile Size 7.5 (pair)</t>
  </si>
  <si>
    <t>Fenestrated drape, sterile, disposable, 20cmx20cm</t>
  </si>
  <si>
    <t>Lidocaine hydrochloride 1% (20ml)</t>
  </si>
  <si>
    <t>Syringe, disposable, sterile, 5ml</t>
  </si>
  <si>
    <t>Needle, disposable, sterile, 23Gauge</t>
  </si>
  <si>
    <t>Bandaid (wound plaster, waterproof)</t>
  </si>
  <si>
    <t>Adhesive tape (zinc oxide plaster) nonsterile 2.5cm x 5m</t>
  </si>
  <si>
    <t>Gauze bandage, nonsterile, 10cm x 4.5meters</t>
  </si>
  <si>
    <t>Cotton balls (not roll of cotton!), large, nonsterile</t>
  </si>
  <si>
    <r>
      <t>Blade, surgical, no. 10, sterile, disposable (</t>
    </r>
    <r>
      <rPr>
        <sz val="11"/>
        <color rgb="FFFF0000"/>
        <rFont val="Calibri"/>
        <family val="2"/>
        <scheme val="minor"/>
      </rPr>
      <t>removal only</t>
    </r>
    <r>
      <rPr>
        <sz val="11"/>
        <color theme="1"/>
        <rFont val="Calibri"/>
        <family val="2"/>
        <scheme val="minor"/>
      </rPr>
      <t>)</t>
    </r>
  </si>
  <si>
    <t>Commodity, consumable and quality testing costs calculated separately</t>
  </si>
  <si>
    <t>2014; 2016; 2018</t>
  </si>
  <si>
    <t># of circuits/routes to make per visit</t>
  </si>
  <si>
    <t># hired</t>
  </si>
  <si>
    <t>Regional cost splits</t>
  </si>
  <si>
    <t>Distances matrix</t>
  </si>
  <si>
    <t>Line item</t>
  </si>
  <si>
    <t>Ref</t>
  </si>
  <si>
    <t>Category</t>
  </si>
  <si>
    <t>Total cost</t>
  </si>
  <si>
    <t>Region</t>
  </si>
  <si>
    <t>Extra</t>
  </si>
  <si>
    <t>…</t>
  </si>
  <si>
    <t>Extra procurement and supply chain 2</t>
  </si>
  <si>
    <t>Extra procurement and supply chain 3</t>
  </si>
  <si>
    <t>Extra policy and environment 3</t>
  </si>
  <si>
    <t>Extra financing 2</t>
  </si>
  <si>
    <t>Extra financing 3</t>
  </si>
  <si>
    <t>Input info</t>
  </si>
  <si>
    <t>Regional cost splits (pull values for calculation)</t>
  </si>
  <si>
    <t>National centre</t>
  </si>
  <si>
    <t>Enter province/regional names here</t>
  </si>
  <si>
    <t>Objectives</t>
  </si>
  <si>
    <t>Total women</t>
  </si>
  <si>
    <t>Population growth rate (% annually)</t>
  </si>
  <si>
    <t>% of married women</t>
  </si>
  <si>
    <t>Married WRA</t>
  </si>
  <si>
    <t>Unmarried WRA</t>
  </si>
  <si>
    <t>MCPR</t>
  </si>
  <si>
    <t>Married women - MCPR and method mix</t>
  </si>
  <si>
    <t>Female ster.</t>
  </si>
  <si>
    <t>Implants</t>
  </si>
  <si>
    <t>Other (includes LAM)</t>
  </si>
  <si>
    <t>IUDs</t>
  </si>
  <si>
    <t>Male ster.</t>
  </si>
  <si>
    <t>Injectables</t>
  </si>
  <si>
    <t>Pills</t>
  </si>
  <si>
    <t>Year of objective</t>
  </si>
  <si>
    <t>Source: World Health Statistics, WHO</t>
  </si>
  <si>
    <t>Source: International Demographic Database, US Census Bureau</t>
  </si>
  <si>
    <t>Source: Country census</t>
  </si>
  <si>
    <t>Source: FP plan objectives</t>
  </si>
  <si>
    <t>Source: FP plan estimates</t>
  </si>
  <si>
    <t>Source: DHS or estimates</t>
  </si>
  <si>
    <t>Objective MCPR (married)</t>
  </si>
  <si>
    <t>Estimated method mix (married)</t>
  </si>
  <si>
    <t>Objective MCPR (unmarried)</t>
  </si>
  <si>
    <t>Estimated method mix (unmarried)</t>
  </si>
  <si>
    <t>Total users by method (married)</t>
  </si>
  <si>
    <t>New acceptors long-acting methods (married)</t>
  </si>
  <si>
    <t>Total users (married and unmarried)</t>
  </si>
  <si>
    <t>New acceptors long-acting methods (married and unmarried)</t>
  </si>
  <si>
    <t>Calculations - users and new acceptors</t>
  </si>
  <si>
    <t>Units per year</t>
  </si>
  <si>
    <t>*Current using intl supplier estimates scaled to Kwacha</t>
  </si>
  <si>
    <t>Prepacked with syringe</t>
  </si>
  <si>
    <t>Mix of implants</t>
  </si>
  <si>
    <t>Typical length of coverage before removal</t>
  </si>
  <si>
    <t>Average age of operation (to calculate coverage prior to age 49)</t>
  </si>
  <si>
    <t>Costs - contraceptives, consumables and testing</t>
  </si>
  <si>
    <t>Contraceptive costs</t>
  </si>
  <si>
    <t>Condoms (male)</t>
  </si>
  <si>
    <t>Annual contraceptive costs</t>
  </si>
  <si>
    <t>Consumable costs</t>
  </si>
  <si>
    <t>Testing costs</t>
  </si>
  <si>
    <t>Condoms (female)</t>
  </si>
  <si>
    <t>See tab "Method mix + objectives"</t>
  </si>
  <si>
    <t>Row Labels</t>
  </si>
  <si>
    <t>Grand Total</t>
  </si>
  <si>
    <t>Sum of Total cost</t>
  </si>
  <si>
    <t>Unmarried sexually active WRA</t>
  </si>
  <si>
    <t>Source: DHS (implied) or estimates</t>
  </si>
  <si>
    <t>Sexually active unmarried women - MCPR and method mix</t>
  </si>
  <si>
    <t>Total users by method (sexually active unmarried)</t>
  </si>
  <si>
    <t>New acceptors long-acting methods (sexually active unmarried)</t>
  </si>
  <si>
    <t>Overhead costs (daily)</t>
  </si>
  <si>
    <t>Source</t>
  </si>
  <si>
    <t>ZISSP Travel Advance</t>
  </si>
  <si>
    <t>Secondary</t>
  </si>
  <si>
    <t>ZISSP Travel Advance; Conference Facility, Quote from Taj Pamodzi</t>
  </si>
  <si>
    <t>CDE rate - confirm drivers are classifed as CDEs</t>
  </si>
  <si>
    <t>Not sure what a consultant would cost</t>
  </si>
  <si>
    <t>Get from CSH</t>
  </si>
  <si>
    <t>Based on SMAG Incentive Costs</t>
  </si>
  <si>
    <t>Niger Data</t>
  </si>
  <si>
    <t>Ask Youth Vision</t>
  </si>
  <si>
    <t>Made Up</t>
  </si>
  <si>
    <t>Uganda SMGL Data</t>
  </si>
  <si>
    <t>$225 - Niger</t>
  </si>
  <si>
    <t>$83 - Access RH</t>
  </si>
  <si>
    <t>$150 - Niger</t>
  </si>
  <si>
    <t>$120 - Access RH</t>
  </si>
  <si>
    <t xml:space="preserve">$337 -Niger </t>
  </si>
  <si>
    <t>$338 - Access RH</t>
  </si>
  <si>
    <t xml:space="preserve"># needed </t>
  </si>
  <si>
    <t># needed per procurement</t>
  </si>
  <si>
    <t>Get from Childfund</t>
  </si>
  <si>
    <t>Maya to get from Access RH</t>
  </si>
  <si>
    <t>From SMGL Data</t>
  </si>
  <si>
    <t>Media Awards</t>
  </si>
  <si>
    <t># of events</t>
  </si>
  <si>
    <t>2014;2017;2020</t>
  </si>
  <si>
    <t>Total items translated (# materials * # languages) - not per campaign</t>
  </si>
  <si>
    <t>2014; 2015; 2016</t>
  </si>
  <si>
    <t>2014; 2016; 2018; 2020</t>
  </si>
  <si>
    <t>$12-$16 (Access RH)</t>
  </si>
  <si>
    <t>Caitlin = $8</t>
  </si>
  <si>
    <t>Volume Guarantees</t>
  </si>
  <si>
    <t>$13</t>
  </si>
  <si>
    <t>$8,50</t>
  </si>
  <si>
    <t>$0,29</t>
  </si>
  <si>
    <t>Microgynon $0.27, Marvelon $0.69, Zinnia $0.23, Ethinlevo $1.20</t>
  </si>
  <si>
    <t>Microlut $0.30</t>
  </si>
  <si>
    <t>$0,85</t>
  </si>
  <si>
    <t>$1,10 Depo; $1,30 Noristerat; $0,85 Noristerat</t>
  </si>
  <si>
    <t>$0,47 or $0,57</t>
  </si>
  <si>
    <t>Nigeria/Niger</t>
  </si>
  <si>
    <t>Access RH</t>
  </si>
  <si>
    <t>$4.29 - $5.19/144</t>
  </si>
  <si>
    <t>$0,04</t>
  </si>
  <si>
    <t>$0,37; $0,35; $0,35</t>
  </si>
  <si>
    <t>Communications strategy (D.1.1)</t>
  </si>
  <si>
    <t>Radio and TV (D.1.2)</t>
  </si>
  <si>
    <t>Radio listening groups (D.1.2)</t>
  </si>
  <si>
    <t>Advertising and printed materials (D.1.3)</t>
  </si>
  <si>
    <t>In-person health campaigns (D.1.4)</t>
  </si>
  <si>
    <t>Telecom and internet (n/a)</t>
  </si>
  <si>
    <t>Press (D.1.2)</t>
  </si>
  <si>
    <t>Sexual education in schools - curriculum review (n/a)</t>
  </si>
  <si>
    <t>Training teachers in new curriculum (n/a)</t>
  </si>
  <si>
    <t>Health facilities (service delivery points)</t>
  </si>
  <si>
    <t>2013;2014;2015;2016</t>
  </si>
  <si>
    <t>In-service training - training of trainers (SDA3.1)</t>
  </si>
  <si>
    <t>In-service training - training of trainers for CBDs (SDA 3.2)</t>
  </si>
  <si>
    <t>In-service training - LARC training (SDA4.1)</t>
  </si>
  <si>
    <t>In-service training - Dedicated FP providers (SDA4.3)</t>
  </si>
  <si>
    <t>2014;2015</t>
  </si>
  <si>
    <t>Pre-service training - curriculum review (SDA5.1)</t>
  </si>
  <si>
    <t>Pre-service training - training of trainers (SDA5.1)</t>
  </si>
  <si>
    <t>HCW registration requirements for LARCs (SDA5.2)</t>
  </si>
  <si>
    <t># of midwives</t>
  </si>
  <si>
    <t>Retired midwife</t>
  </si>
  <si>
    <t>2014;2015;2016;2017;2018;2019;2020</t>
  </si>
  <si>
    <t>CBD training (SDA7.2 and 7.3 supplemental)</t>
  </si>
  <si>
    <t>CBD amenities - initial (SDA7.1 and 7.2)</t>
  </si>
  <si>
    <t>CBD amenities - ongoing (SDA7.1)</t>
  </si>
  <si>
    <t># of times a year</t>
  </si>
  <si>
    <t>Outreach activities and mobile clinics - ongoing costs (SDA6.1 and SDA8.1)</t>
  </si>
  <si>
    <t>Mini clinics pilot (SDA8.2)</t>
  </si>
  <si>
    <t>Rent for site</t>
  </si>
  <si>
    <t>Nurse</t>
  </si>
  <si>
    <t>Cleaner</t>
  </si>
  <si>
    <t>annual salary</t>
  </si>
  <si>
    <t>monthly</t>
  </si>
  <si>
    <t># per outreach point</t>
  </si>
  <si>
    <t>2014;2015;2016</t>
  </si>
  <si>
    <t xml:space="preserve">Forceps, uterine, Duplay (tenaculum) </t>
  </si>
  <si>
    <t>Integration of FP with other health services (SDA11)</t>
  </si>
  <si>
    <t>Integration guidelines</t>
  </si>
  <si>
    <t>Suture material (sterile with needle) + 1 pack chromic catgut</t>
  </si>
  <si>
    <t>IV solution x 1000cc</t>
  </si>
  <si>
    <t>Urethral catheter</t>
  </si>
  <si>
    <t>Infusion set with catheter or needle 14-16 gauge</t>
  </si>
  <si>
    <t>District to facility tour</t>
  </si>
  <si>
    <t>Province to district tour</t>
  </si>
  <si>
    <t>National to province tour</t>
  </si>
  <si>
    <t>Didactic material (flipcharts, whiteboard markers, projector rental, etc.)</t>
  </si>
  <si>
    <t>Procurement and forecasting meetings (PSC1.1)</t>
  </si>
  <si>
    <t>FP logistics training (PSC3.2)</t>
  </si>
  <si>
    <t>Quality testing (PSC2)</t>
  </si>
  <si>
    <t>2013; 2014; 2015</t>
  </si>
  <si>
    <t>Storage facilities (n/a)</t>
  </si>
  <si>
    <t>Distribution equipment - ongoing costs (n/a)</t>
  </si>
  <si>
    <t>Meeting to consider prepacking commodities (PSC1.2)</t>
  </si>
  <si>
    <t>% FP commodities</t>
  </si>
  <si>
    <t>Meeting to prepack</t>
  </si>
  <si>
    <t>Distribution equipment - initial investment (PSC4.1 and PSC4.2)</t>
  </si>
  <si>
    <t>International advocacy (n/a)</t>
  </si>
  <si>
    <t>Review guidelines (PE3)</t>
  </si>
  <si>
    <t>FP guidelines review</t>
  </si>
  <si>
    <t>2013; 2018</t>
  </si>
  <si>
    <t>Policy documents review</t>
  </si>
  <si>
    <t>Policy documents (PE1.1)</t>
  </si>
  <si>
    <t>Financing advocacy meetings to government (F1.1)</t>
  </si>
  <si>
    <t>Advocacy strategy and meetings to donors (F1.2)</t>
  </si>
  <si>
    <t>Financing advocacy meeting</t>
  </si>
  <si>
    <t>New FP division resources (SMC1.1, includes RH Logistics described in PSC4.3)</t>
  </si>
  <si>
    <t>TWG meetings (SMC1.2)</t>
  </si>
  <si>
    <t>Patient cards (n/a)</t>
  </si>
  <si>
    <t>Train provincial focal points (SMC1.3)</t>
  </si>
  <si>
    <t>Hire district focal points (SMC1.3)</t>
  </si>
  <si>
    <t>Approve provincial objectives (SMC1.3)</t>
  </si>
  <si>
    <t>Salary plus allowances</t>
  </si>
  <si>
    <t>Deputy Director Level</t>
  </si>
  <si>
    <t>Salary plus allowances (50% increase), doubled for recent raises</t>
  </si>
  <si>
    <t>Assistant Director Level</t>
  </si>
  <si>
    <t>RH Specialist</t>
  </si>
  <si>
    <t>RH Logistics Coordinator</t>
  </si>
  <si>
    <t>Principal FP Officer</t>
  </si>
  <si>
    <t>Chief FP Officer</t>
  </si>
  <si>
    <t>Principal level</t>
  </si>
  <si>
    <t>Chief level</t>
  </si>
  <si>
    <t>Train provincial FP focal points</t>
  </si>
  <si>
    <t>District-level FP coordinator</t>
  </si>
  <si>
    <t>% of time spent on FP</t>
  </si>
  <si>
    <t># of resources</t>
  </si>
  <si>
    <t>Estimate</t>
  </si>
  <si>
    <t>Training in FP supervision (SMC3.1)</t>
  </si>
  <si>
    <t>Data collection books (n/a)</t>
  </si>
  <si>
    <t># of provinces</t>
  </si>
  <si>
    <t># of districts</t>
  </si>
  <si>
    <t># of health centres</t>
  </si>
  <si>
    <t>Cost per circuit (district/local to health posts)</t>
  </si>
  <si>
    <t>Supervision and quality assurance (SMC3.2)</t>
  </si>
  <si>
    <t>Plan review - midway (SMC4.1)</t>
  </si>
  <si>
    <t>Plan review - against DHS results (SMC4.2)</t>
  </si>
  <si>
    <t>Supervision/ review meetings (SMC 4.3)</t>
  </si>
  <si>
    <t>Surveys/ investigations (n/a)</t>
  </si>
  <si>
    <t>Print FP plan and brochures (SMC1.3)</t>
  </si>
  <si>
    <t>Plan</t>
  </si>
  <si>
    <t>Brochure</t>
  </si>
  <si>
    <t># of plans required</t>
  </si>
  <si>
    <t># of brochures required</t>
  </si>
  <si>
    <t>quantity</t>
  </si>
  <si>
    <t>Pilot</t>
  </si>
  <si>
    <t>Mobile phone data collection</t>
  </si>
  <si>
    <t>Develop pilot for mobile phone data collection (SMC2.1)</t>
  </si>
  <si>
    <t># of districts piloted</t>
  </si>
  <si>
    <t>Establish health system capacity (SDA1.1)</t>
  </si>
  <si>
    <t>Inform/train MCH/FP focal points to conduct assessment</t>
  </si>
  <si>
    <t>MCH/FP focal points</t>
  </si>
  <si>
    <t>Compensation</t>
  </si>
  <si>
    <t>Travel allowances</t>
  </si>
  <si>
    <t># of days to complete in each district</t>
  </si>
  <si>
    <t>On-the-job skills updates (SDA4.2)</t>
  </si>
  <si>
    <t># of sites per visit</t>
  </si>
  <si>
    <t>Provincial meeting to explain CBD scale-up (SDA7.2)</t>
  </si>
  <si>
    <t>Provincial FP focal point meetings</t>
  </si>
  <si>
    <t>Explore opportunities for public-private partnerships (SDA8.3)</t>
  </si>
  <si>
    <t>Meetings with key private stakeholders</t>
  </si>
  <si>
    <t>Revise CHA training curriculum and retrain (SDA9)</t>
  </si>
  <si>
    <t>Train CHAs</t>
  </si>
  <si>
    <t>% sexually active of unmarried women</t>
  </si>
  <si>
    <t>Goal of 50% MCPR WRA not possible given % of sexually active unmarried women</t>
  </si>
  <si>
    <t>Sum of 2013 sum</t>
  </si>
  <si>
    <t>Sum of 2014 sum</t>
  </si>
  <si>
    <t>Sum of 2015 sum</t>
  </si>
  <si>
    <t>Sum of 2016 sum</t>
  </si>
  <si>
    <t>Sum of 2017 sum</t>
  </si>
  <si>
    <t>Sum of 2018 sum</t>
  </si>
  <si>
    <t>Sum of 2019 sum</t>
  </si>
  <si>
    <t>Sum of 2020 sum</t>
  </si>
  <si>
    <t>Sum of 2021 sum</t>
  </si>
  <si>
    <t>Sum of 2022 sum</t>
  </si>
  <si>
    <t>Per user (services)</t>
  </si>
  <si>
    <t>Per user (contraceptives)</t>
  </si>
  <si>
    <t>Total WRA</t>
  </si>
  <si>
    <t>Approve FP objectives</t>
  </si>
  <si>
    <t>West Africa</t>
  </si>
  <si>
    <t>Kenya</t>
  </si>
  <si>
    <t>Total new users</t>
  </si>
  <si>
    <t>Total users every year</t>
  </si>
  <si>
    <t>US</t>
  </si>
  <si>
    <t>Per year</t>
  </si>
  <si>
    <t>Priority activities</t>
  </si>
  <si>
    <t>Activity</t>
  </si>
  <si>
    <t>FP demand generation and behaviour change communication</t>
  </si>
  <si>
    <t>Adolescents and youth</t>
  </si>
  <si>
    <t>Staff and training</t>
  </si>
  <si>
    <t>Rural and underserved access to FP services</t>
  </si>
  <si>
    <t>FP commodities</t>
  </si>
  <si>
    <t>Contraceptives</t>
  </si>
  <si>
    <t>Annual consumable costs</t>
  </si>
  <si>
    <t>Stockouts at service delivery points</t>
  </si>
  <si>
    <t>FP governance structure and program coordination</t>
  </si>
  <si>
    <t>n/a</t>
  </si>
  <si>
    <t>ALL ACTIVITIES</t>
  </si>
  <si>
    <t>CATEGORIES</t>
  </si>
  <si>
    <t>PRIORITY ACTIVITIES</t>
  </si>
  <si>
    <t>ZMW</t>
  </si>
  <si>
    <t>Per new user</t>
  </si>
  <si>
    <t>YEARLY COSTS</t>
  </si>
  <si>
    <t>COST PER WOMAN</t>
  </si>
  <si>
    <t>Patient tracking booklets and referral booklets included in Supervision monitoring and coordination</t>
  </si>
  <si>
    <t>Supervision monitoring and coordination</t>
  </si>
  <si>
    <t>Extra Supervision monitoring and coordination 2</t>
  </si>
  <si>
    <t>Priority Activities</t>
  </si>
  <si>
    <t>Strategic priority</t>
  </si>
  <si>
    <t>Zambezi FM Radio (local) 30 sec: 57.54 ZMK</t>
  </si>
  <si>
    <t>Petauke Explorers Radio (local) 30 sec: 45 ZMK</t>
  </si>
  <si>
    <t>Petauke Explorers Radio (local) 60 sec: 75 ZMK</t>
  </si>
  <si>
    <t>Zambezi FM Radio (local) 60 sec: 98.60 ZMK</t>
  </si>
  <si>
    <t>Zambezi FM Radio (local) 15 min branded: 265 ZMK</t>
  </si>
  <si>
    <t>Petauke Explorers Radio (local) 10 min produced externally: 215 ZMK</t>
  </si>
  <si>
    <t>Program creation and national radio are estimates based on provincial and local costs</t>
  </si>
  <si>
    <t>ZNBC TV 2 25 min production only: 4550 ZMK; airtime only: 5950 ZMK</t>
  </si>
  <si>
    <t>ZNBC TV 2 40 min production only: 6500 ZMK; airtime only: 7500 ZMK</t>
  </si>
  <si>
    <t>ZNBC TV 2 30 seconds news adjacent: 900 ZMK</t>
  </si>
  <si>
    <t>ZNBC TV 30 seconds news adjacent: 4320 ZMK</t>
  </si>
  <si>
    <t>ZNBC TV 25 min production only: 8000 ZMK; airtime only series: 9500 ZMK</t>
  </si>
  <si>
    <t>ZNBC TV 40 min production only: 12800 ZMK; airtime only series: 15200 ZMK</t>
  </si>
  <si>
    <t>Government Printing Department: 1875 ZMK for 100 A1 posters</t>
  </si>
  <si>
    <t>Government Printing Department: 470 ZMK for 100 A1 posters</t>
  </si>
  <si>
    <t>Flyer/ pamphlet/ brochure</t>
  </si>
  <si>
    <t>Government Printing Department: 500 ZMK for 250 full-colour brochures double-sided</t>
  </si>
  <si>
    <t>0.24 ZMK govt double-sided B&amp;W rate</t>
  </si>
  <si>
    <t>1.5 ZMK max USAID rate</t>
  </si>
  <si>
    <t>Government Printing Department: 50 page policy document with book bind for 50 ZMK</t>
  </si>
  <si>
    <t>Government Printing Department: 50 page B&amp;W report document with spiral bound for 20 ZMK</t>
  </si>
  <si>
    <t>Training of CBD and peer educator trainers</t>
  </si>
  <si>
    <t># of doctors/clinical officers in outreach</t>
  </si>
  <si>
    <t>Train district FP focal points</t>
  </si>
  <si>
    <t>Train district focal points (SMC1.3)</t>
  </si>
  <si>
    <t>FP division equipment - initial investment (SMC1.1)</t>
  </si>
  <si>
    <t>FP division equipment - renewal or scaling up (SMC1.1)</t>
  </si>
  <si>
    <t>2014;2018</t>
  </si>
  <si>
    <t>Training teachers to train existing AIDS clubs (D.3.1)</t>
  </si>
  <si>
    <t>ASRH/ AIDS clubs (D.3.1)</t>
  </si>
  <si>
    <t>Ongoing compensation included in CBD ongoing compensation</t>
  </si>
  <si>
    <t>Given to youth CBDs</t>
  </si>
  <si>
    <t>Given to peer educators in existing AIDS clubs</t>
  </si>
  <si>
    <t>Peer educators/ Youth CBDs (D.3.1)</t>
  </si>
  <si>
    <t>Media  coverage</t>
  </si>
  <si>
    <t>Invited media per campaign</t>
  </si>
  <si>
    <t>Number of reports</t>
  </si>
  <si>
    <t>Train national change champions</t>
  </si>
  <si>
    <t>Train FP promoters</t>
  </si>
  <si>
    <t>Support for change champions</t>
  </si>
  <si>
    <t>Travel allowance</t>
  </si>
  <si>
    <t>Champions program - ongoing (D.2.1)</t>
  </si>
  <si>
    <t>2013; 2016; 2019</t>
  </si>
  <si>
    <t>Assumption they are receiving support to travel to national events, $100 for 2 events</t>
  </si>
  <si>
    <t>Support for FP promoters</t>
  </si>
  <si>
    <t># of change champions</t>
  </si>
  <si>
    <t># of FP promoters</t>
  </si>
  <si>
    <t>Champions program - train change champions (D.2.1)</t>
  </si>
  <si>
    <t>Champions program - train FP promoters (D.2.1)</t>
  </si>
  <si>
    <t>2014; 2017</t>
  </si>
  <si>
    <t>Coordination meetings</t>
  </si>
  <si>
    <t>Technical and other support (e.g., travel allowance)</t>
  </si>
  <si>
    <t>Number of FP advocates</t>
  </si>
  <si>
    <t>Implied MCPR for all WRA</t>
  </si>
  <si>
    <t>Implied MCPR and method mix for all WRA</t>
  </si>
  <si>
    <t>Commodity wastage (both contraceptives and consumables)</t>
  </si>
  <si>
    <t>Number of people trained</t>
  </si>
  <si>
    <t>CBDs</t>
  </si>
  <si>
    <t>HCWs</t>
  </si>
  <si>
    <t>TOT pre-service</t>
  </si>
  <si>
    <t>TOT in-service</t>
  </si>
  <si>
    <t>Dedicated trainers</t>
  </si>
  <si>
    <t>Total cost per HCW trained</t>
  </si>
  <si>
    <t>HCWs in LARCs</t>
  </si>
  <si>
    <t>TOTs CBDs</t>
  </si>
  <si>
    <t>USD</t>
  </si>
  <si>
    <t>Training costs</t>
  </si>
  <si>
    <t>COSTS OF TRAINING</t>
  </si>
  <si>
    <t>In-service TOTs HCWs</t>
  </si>
  <si>
    <t>Pre-service TOTs HCWs</t>
  </si>
  <si>
    <t>Pre-service curriculum and materials</t>
  </si>
  <si>
    <t>In-service curriculum and materials</t>
  </si>
  <si>
    <t>CYP offered (Measure Evaluation PRH)</t>
  </si>
  <si>
    <t>FP division equipment - ongoing (SMC1.1)</t>
  </si>
  <si>
    <t>ASRH/ AIDS clubs guidelines and identification meeting (D3.1)</t>
  </si>
  <si>
    <t>Guidelines review</t>
  </si>
  <si>
    <t>Advocacy meetings</t>
  </si>
  <si>
    <t>Advocate with youth developmental organizations (D3.2)</t>
  </si>
  <si>
    <t>Consortium of FP advocates - training (PE2.1)</t>
  </si>
  <si>
    <t>Consortium of FP advocates -ongoing support (PE2.2)</t>
  </si>
  <si>
    <t>Province/ region 1</t>
  </si>
  <si>
    <t>Province/ region 2</t>
  </si>
  <si>
    <t>Province/ region 3</t>
  </si>
  <si>
    <t>Province/ region 4</t>
  </si>
  <si>
    <t>Province/ region 5</t>
  </si>
  <si>
    <t>Province/ region 6</t>
  </si>
  <si>
    <t>Province/ region 7</t>
  </si>
  <si>
    <t>Province/ region 8</t>
  </si>
  <si>
    <t>Province/ region 9</t>
  </si>
  <si>
    <t>Province/ region 10</t>
  </si>
  <si>
    <t>FUNDING GAP</t>
  </si>
  <si>
    <t xml:space="preserve">  MOH</t>
  </si>
  <si>
    <t xml:space="preserve">  MCDMCH</t>
  </si>
  <si>
    <t xml:space="preserve">  USAID</t>
  </si>
  <si>
    <t xml:space="preserve">  UNFPA</t>
  </si>
  <si>
    <t xml:space="preserve">  CDC</t>
  </si>
  <si>
    <t xml:space="preserve">  DoD</t>
  </si>
  <si>
    <t xml:space="preserve">  BMGF</t>
  </si>
  <si>
    <t xml:space="preserve">  DfID</t>
  </si>
  <si>
    <t xml:space="preserve">  Other 1</t>
  </si>
  <si>
    <t xml:space="preserve">  Other 2</t>
  </si>
  <si>
    <t xml:space="preserve">  Other 3</t>
  </si>
  <si>
    <t>Funds Required (by year)</t>
  </si>
  <si>
    <t>Total GRZ Commitment</t>
  </si>
  <si>
    <t>Total Donor Commitments</t>
  </si>
  <si>
    <t>Remaining amount required to fully fund plan</t>
  </si>
  <si>
    <t>Total Funds Obligated for FP (by year):</t>
  </si>
  <si>
    <t>Donor Commitments (by year):</t>
  </si>
  <si>
    <t xml:space="preserve">  Other GRZ</t>
  </si>
  <si>
    <t>Braille Documents</t>
  </si>
  <si>
    <t>Flyer units printed in braille/campaign</t>
  </si>
  <si>
    <t>2013; 2014; 2017</t>
  </si>
  <si>
    <t>Training for CO's and MD's conducting BTLs (SDA.2.3)</t>
  </si>
  <si>
    <t>Mentorship of CO's and MD's Trained in BTLs (SDA.2.3)</t>
  </si>
  <si>
    <t>3 Year Pilot to assess the feasibility and safety of clinical officers conducting BTLs</t>
  </si>
  <si>
    <t>2015; 2016</t>
  </si>
  <si>
    <t>number of visits/year</t>
  </si>
  <si>
    <t>number of persons receiving mentorship</t>
  </si>
  <si>
    <t>Travel Allowance</t>
  </si>
  <si>
    <t xml:space="preserve">Per Diem for Mentor </t>
  </si>
  <si>
    <t>Travel Allowance for mentor</t>
  </si>
  <si>
    <t xml:space="preserve">Travel </t>
  </si>
  <si>
    <t>SDA 10 - Equiping Health Facilities</t>
  </si>
  <si>
    <t xml:space="preserve">Cost of all Equipment Procured </t>
  </si>
  <si>
    <t>total annual cost for equipment</t>
  </si>
  <si>
    <t>percentage required</t>
  </si>
  <si>
    <t>2017; 2020</t>
  </si>
  <si>
    <t>Training materials - initial investment (SDA3.4 &amp; 5.1)</t>
  </si>
  <si>
    <t>Lunch  Allowance for HCW and driver</t>
  </si>
  <si>
    <t>Youth Friendly Services Supplies</t>
  </si>
  <si>
    <t>per centre</t>
  </si>
  <si>
    <t>FP equipment for all health facilities (SDA10 &amp; SDA.12.1)</t>
  </si>
  <si>
    <t>covered in line 284</t>
  </si>
  <si>
    <t>In-service training - training plan development and revision including DFPP plan, and curriculum review (SDA2.1 and SDA2.2, SDA4.3)</t>
  </si>
  <si>
    <t>should be very close to inputs to MSI model</t>
  </si>
  <si>
    <t>should be very close to overall objectives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</si>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</sst>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quot;$&quot;_ ;_ * \(#,##0.00\)\ &quot;$&quot;_ ;_ * &quot;-&quot;??_)\ &quot;$&quot;_ ;_ @_ "/>
    <numFmt numFmtId="165" formatCode="_ * #,##0.00_)\ _$_ ;_ * \(#,##0.00\)\ _$_ ;_ * &quot;-&quot;??_)\ _$_ ;_ @_ "/>
    <numFmt numFmtId="166" formatCode="_ * #,##0_)\ [$ZMK]_ ;_ * \(#,##0\)\ [$ZMK]_ ;_ * &quot;-&quot;_)\ [$ZMK]_ ;_ @_ "/>
    <numFmt numFmtId="167" formatCode="0.0%"/>
    <numFmt numFmtId="168" formatCode="_ * #,##0.00_)\ [$ZMK]_ ;_ * \(#,##0.00\)\ [$ZMK]_ ;_ * &quot;-&quot;_)\ [$ZMK]_ ;_ @_ "/>
    <numFmt numFmtId="169" formatCode="_ * #,##0_)\ _$_ ;_ * \(#,##0\)\ _$_ ;_ * &quot;-&quot;??_)\ _$_ ;_ @_ "/>
    <numFmt numFmtId="170" formatCode="_ * #,##0.00_)\ [$ZMK]_ ;_ * \(#,##0.00\)\ [$ZMK]_ ;_ * &quot;-&quot;??_)\ [$ZMK]_ ;_ @_ "/>
    <numFmt numFmtId="171" formatCode="_([$$-409]* #,##0.00_);_([$$-409]* \(#,##0.00\);_([$$-409]* &quot;-&quot;??_);_(@_)"/>
    <numFmt numFmtId="172" formatCode="_ * #,##0_)\ &quot;$&quot;_ ;_ * \(#,##0\)\ &quot;$&quot;_ ;_ * &quot;-&quot;??_)\ &quot;$&quot;_ ;_ @_ "/>
    <numFmt numFmtId="173" formatCode="&quot;$&quot;#,##0"/>
    <numFmt numFmtId="174" formatCode="_([$ZMK]\ * #,##0.00_);_([$ZMK]\ * \(#,##0.00\);_([$ZMK]\ * &quot;-&quot;??_);_(@_)"/>
  </numFmts>
  <fonts count="21" x14ac:knownFonts="1">
    <font>
      <sz val="11"/>
      <color theme="1"/>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i/>
      <sz val="11"/>
      <color theme="3"/>
      <name val="Calibri"/>
      <family val="2"/>
      <scheme val="minor"/>
    </font>
    <font>
      <sz val="9"/>
      <color indexed="81"/>
      <name val="Tahoma"/>
      <family val="2"/>
    </font>
    <font>
      <b/>
      <sz val="9"/>
      <color indexed="81"/>
      <name val="Tahoma"/>
      <family val="2"/>
    </font>
    <font>
      <i/>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theme="0"/>
      <name val="Calibri"/>
      <family val="2"/>
      <scheme val="minor"/>
    </font>
    <font>
      <sz val="11"/>
      <color theme="0"/>
      <name val="Calibri"/>
      <family val="2"/>
      <scheme val="minor"/>
    </font>
    <font>
      <sz val="11"/>
      <color theme="3"/>
      <name val="Calibri"/>
      <family val="2"/>
      <scheme val="minor"/>
    </font>
    <font>
      <sz val="11"/>
      <color rgb="FFFA7D00"/>
      <name val="Calibri"/>
      <family val="2"/>
      <scheme val="minor"/>
    </font>
    <font>
      <b/>
      <sz val="15"/>
      <color theme="3"/>
      <name val="Calibri"/>
      <family val="2"/>
      <scheme val="minor"/>
    </font>
    <font>
      <sz val="11"/>
      <color rgb="FFFF0000"/>
      <name val="Calibri"/>
      <family val="2"/>
      <scheme val="minor"/>
    </font>
    <font>
      <sz val="8"/>
      <color indexed="81"/>
      <name val="Tahoma"/>
      <family val="2"/>
    </font>
    <font>
      <b/>
      <sz val="8"/>
      <color indexed="81"/>
      <name val="Tahoma"/>
      <family val="2"/>
    </font>
    <font>
      <i/>
      <sz val="8"/>
      <color rgb="FF7F7F7F"/>
      <name val="Calibri"/>
      <family val="2"/>
      <scheme val="minor"/>
    </font>
  </fonts>
  <fills count="15">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rgb="FF92D050"/>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8"/>
      </patternFill>
    </fill>
    <fill>
      <patternFill patternType="solid">
        <fgColor rgb="FFA5A5A5"/>
      </patternFill>
    </fill>
    <fill>
      <patternFill patternType="solid">
        <fgColor theme="3"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rgb="FFFF8001"/>
      </bottom>
      <diagonal/>
    </border>
    <border>
      <left/>
      <right/>
      <top/>
      <bottom style="thick">
        <color theme="4"/>
      </bottom>
      <diagonal/>
    </border>
    <border>
      <left/>
      <right/>
      <top/>
      <bottom style="medium">
        <color theme="4" tint="0.39997558519241921"/>
      </bottom>
      <diagonal/>
    </border>
    <border>
      <left style="medium">
        <color indexed="64"/>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rgb="FF7F7F7F"/>
      </left>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style="thin">
        <color indexed="64"/>
      </bottom>
      <diagonal/>
    </border>
    <border>
      <left style="thin">
        <color rgb="FF3F3F3F"/>
      </left>
      <right style="thin">
        <color rgb="FF3F3F3F"/>
      </right>
      <top style="thin">
        <color rgb="FF3F3F3F"/>
      </top>
      <bottom style="thin">
        <color indexed="64"/>
      </bottom>
      <diagonal/>
    </border>
  </borders>
  <cellStyleXfs count="18">
    <xf numFmtId="0" fontId="0" fillId="0" borderId="0"/>
    <xf numFmtId="0" fontId="1" fillId="0" borderId="0" applyNumberFormat="0" applyFill="0" applyBorder="0" applyAlignment="0" applyProtection="0"/>
    <xf numFmtId="0" fontId="2" fillId="2" borderId="1" applyNumberFormat="0" applyAlignment="0" applyProtection="0"/>
    <xf numFmtId="0" fontId="3" fillId="3" borderId="1" applyNumberFormat="0" applyAlignment="0" applyProtection="0"/>
    <xf numFmtId="0" fontId="4" fillId="0" borderId="0" applyNumberFormat="0" applyFill="0" applyBorder="0" applyAlignment="0" applyProtection="0"/>
    <xf numFmtId="9" fontId="9" fillId="0" borderId="0" applyFont="0" applyFill="0" applyBorder="0" applyAlignment="0" applyProtection="0"/>
    <xf numFmtId="0" fontId="10" fillId="0" borderId="2" applyNumberFormat="0" applyFill="0" applyAlignment="0" applyProtection="0"/>
    <xf numFmtId="0" fontId="11" fillId="3" borderId="3" applyNumberFormat="0" applyAlignment="0" applyProtection="0"/>
    <xf numFmtId="0" fontId="9" fillId="6" borderId="4" applyNumberFormat="0" applyFont="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5" fillId="0" borderId="12" applyNumberFormat="0" applyFill="0" applyAlignment="0" applyProtection="0"/>
    <xf numFmtId="0" fontId="16" fillId="0" borderId="13" applyNumberFormat="0" applyFill="0" applyAlignment="0" applyProtection="0"/>
    <xf numFmtId="0" fontId="1" fillId="0" borderId="14" applyNumberFormat="0" applyFill="0" applyAlignment="0" applyProtection="0"/>
    <xf numFmtId="165" fontId="9" fillId="0" borderId="0" applyFont="0" applyFill="0" applyBorder="0" applyAlignment="0" applyProtection="0"/>
    <xf numFmtId="0" fontId="12" fillId="10" borderId="16" applyNumberFormat="0" applyAlignment="0" applyProtection="0"/>
    <xf numFmtId="164" fontId="9" fillId="0" borderId="0" applyFont="0" applyFill="0" applyBorder="0" applyAlignment="0" applyProtection="0"/>
  </cellStyleXfs>
  <cellXfs count="139">
    <xf numFmtId="0" fontId="0" fillId="0" borderId="0" xfId="0"/>
    <xf numFmtId="0" fontId="4" fillId="0" borderId="0" xfId="4"/>
    <xf numFmtId="0" fontId="1" fillId="0" borderId="0" xfId="1"/>
    <xf numFmtId="0" fontId="2" fillId="2" borderId="1" xfId="2"/>
    <xf numFmtId="0" fontId="0" fillId="0" borderId="0" xfId="0" quotePrefix="1"/>
    <xf numFmtId="0" fontId="3" fillId="3" borderId="1" xfId="3"/>
    <xf numFmtId="0" fontId="4" fillId="0" borderId="0" xfId="4" applyFill="1" applyBorder="1"/>
    <xf numFmtId="0" fontId="8" fillId="0" borderId="0" xfId="0" applyFont="1"/>
    <xf numFmtId="0" fontId="0" fillId="0" borderId="0" xfId="0" applyBorder="1"/>
    <xf numFmtId="0" fontId="0" fillId="4" borderId="0" xfId="0" applyFill="1"/>
    <xf numFmtId="0" fontId="0" fillId="5" borderId="0" xfId="0" applyFill="1"/>
    <xf numFmtId="0" fontId="10" fillId="0" borderId="2" xfId="6"/>
    <xf numFmtId="0" fontId="0" fillId="6" borderId="4" xfId="8" applyFont="1"/>
    <xf numFmtId="0" fontId="0" fillId="0" borderId="0" xfId="0" applyFill="1" applyBorder="1"/>
    <xf numFmtId="0" fontId="0" fillId="0" borderId="0" xfId="0" applyFill="1"/>
    <xf numFmtId="0" fontId="1" fillId="0" borderId="0" xfId="1" applyFill="1" applyBorder="1"/>
    <xf numFmtId="9" fontId="3" fillId="3" borderId="1" xfId="3" applyNumberFormat="1"/>
    <xf numFmtId="9" fontId="3" fillId="3" borderId="1" xfId="5" applyFont="1" applyFill="1" applyBorder="1"/>
    <xf numFmtId="0" fontId="12" fillId="8" borderId="5" xfId="10" applyFont="1" applyBorder="1" applyAlignment="1">
      <alignment horizontal="center"/>
    </xf>
    <xf numFmtId="0" fontId="12" fillId="8" borderId="7" xfId="10" applyFont="1" applyBorder="1" applyAlignment="1">
      <alignment horizontal="center"/>
    </xf>
    <xf numFmtId="0" fontId="2" fillId="2" borderId="1" xfId="2" applyNumberFormat="1"/>
    <xf numFmtId="0" fontId="14" fillId="0" borderId="0" xfId="1" applyFont="1"/>
    <xf numFmtId="0" fontId="15" fillId="0" borderId="12" xfId="12"/>
    <xf numFmtId="0" fontId="13" fillId="0" borderId="0" xfId="0" applyFont="1"/>
    <xf numFmtId="0" fontId="12" fillId="7" borderId="5" xfId="9" applyFont="1" applyBorder="1" applyAlignment="1">
      <alignment horizontal="center"/>
    </xf>
    <xf numFmtId="0" fontId="12" fillId="7" borderId="5" xfId="9" applyFont="1" applyBorder="1" applyAlignment="1">
      <alignment horizontal="center" vertical="center" wrapText="1"/>
    </xf>
    <xf numFmtId="166" fontId="0" fillId="0" borderId="0" xfId="0" applyNumberFormat="1"/>
    <xf numFmtId="166" fontId="3" fillId="3" borderId="1" xfId="3" applyNumberFormat="1"/>
    <xf numFmtId="166" fontId="0" fillId="5" borderId="0" xfId="0" applyNumberFormat="1" applyFill="1"/>
    <xf numFmtId="166" fontId="0" fillId="0" borderId="0" xfId="0" applyNumberFormat="1" applyBorder="1"/>
    <xf numFmtId="166" fontId="12" fillId="8" borderId="5" xfId="10" applyNumberFormat="1" applyFont="1" applyBorder="1" applyAlignment="1">
      <alignment horizontal="center"/>
    </xf>
    <xf numFmtId="166" fontId="11" fillId="3" borderId="3" xfId="7" applyNumberFormat="1"/>
    <xf numFmtId="166" fontId="2" fillId="2" borderId="1" xfId="2" applyNumberFormat="1"/>
    <xf numFmtId="166" fontId="4" fillId="0" borderId="0" xfId="4" applyNumberFormat="1"/>
    <xf numFmtId="166" fontId="1" fillId="0" borderId="0" xfId="1" applyNumberFormat="1"/>
    <xf numFmtId="166" fontId="0" fillId="0" borderId="0" xfId="0" quotePrefix="1" applyNumberFormat="1"/>
    <xf numFmtId="166" fontId="4" fillId="0" borderId="0" xfId="4" applyNumberFormat="1" applyFill="1"/>
    <xf numFmtId="166" fontId="14" fillId="0" borderId="0" xfId="1" applyNumberFormat="1" applyFont="1"/>
    <xf numFmtId="166" fontId="0" fillId="0" borderId="0" xfId="0" applyNumberFormat="1" applyFill="1"/>
    <xf numFmtId="166" fontId="8" fillId="0" borderId="0" xfId="0" applyNumberFormat="1" applyFont="1"/>
    <xf numFmtId="166" fontId="4" fillId="0" borderId="0" xfId="4" applyNumberFormat="1" applyFill="1" applyBorder="1"/>
    <xf numFmtId="166" fontId="0" fillId="0" borderId="0" xfId="0" applyNumberFormat="1" applyFont="1" applyFill="1"/>
    <xf numFmtId="166" fontId="0" fillId="0" borderId="0" xfId="0" applyNumberFormat="1" applyFont="1"/>
    <xf numFmtId="166" fontId="8" fillId="0" borderId="0" xfId="0" applyNumberFormat="1" applyFont="1" applyFill="1" applyBorder="1"/>
    <xf numFmtId="166" fontId="0" fillId="0" borderId="0" xfId="0" applyNumberFormat="1" applyFill="1" applyBorder="1"/>
    <xf numFmtId="9" fontId="2" fillId="2" borderId="1" xfId="5" applyFont="1" applyFill="1" applyBorder="1"/>
    <xf numFmtId="167" fontId="2" fillId="2" borderId="1" xfId="5" applyNumberFormat="1" applyFont="1" applyFill="1" applyBorder="1"/>
    <xf numFmtId="2" fontId="2" fillId="2" borderId="1" xfId="2" applyNumberFormat="1"/>
    <xf numFmtId="1" fontId="2" fillId="2" borderId="1" xfId="2" applyNumberFormat="1"/>
    <xf numFmtId="168" fontId="2" fillId="2" borderId="1" xfId="2" applyNumberFormat="1"/>
    <xf numFmtId="0" fontId="16" fillId="0" borderId="13" xfId="13"/>
    <xf numFmtId="0" fontId="1" fillId="0" borderId="14" xfId="14"/>
    <xf numFmtId="0" fontId="12" fillId="7" borderId="5" xfId="9" applyFont="1" applyBorder="1" applyAlignment="1">
      <alignment horizontal="center" wrapText="1"/>
    </xf>
    <xf numFmtId="0" fontId="0" fillId="0" borderId="0" xfId="0" applyAlignment="1">
      <alignment wrapText="1"/>
    </xf>
    <xf numFmtId="9" fontId="0" fillId="0" borderId="0" xfId="5" applyFont="1"/>
    <xf numFmtId="9" fontId="0" fillId="0" borderId="0" xfId="5" applyFont="1" applyFill="1"/>
    <xf numFmtId="9" fontId="0" fillId="5" borderId="0" xfId="5" applyFont="1" applyFill="1"/>
    <xf numFmtId="9" fontId="0" fillId="0" borderId="0" xfId="5" applyFont="1" applyBorder="1"/>
    <xf numFmtId="0" fontId="0" fillId="0" borderId="0" xfId="5" applyNumberFormat="1" applyFont="1"/>
    <xf numFmtId="169" fontId="2" fillId="2" borderId="1" xfId="15" applyNumberFormat="1" applyFont="1" applyFill="1" applyBorder="1"/>
    <xf numFmtId="169" fontId="3" fillId="3" borderId="1" xfId="15" applyNumberFormat="1" applyFont="1" applyFill="1" applyBorder="1"/>
    <xf numFmtId="169" fontId="0" fillId="0" borderId="0" xfId="15" applyNumberFormat="1" applyFont="1"/>
    <xf numFmtId="167" fontId="3" fillId="3" borderId="1" xfId="5" applyNumberFormat="1" applyFont="1" applyFill="1" applyBorder="1"/>
    <xf numFmtId="167" fontId="12" fillId="10" borderId="16" xfId="16" applyNumberFormat="1"/>
    <xf numFmtId="3" fontId="3" fillId="3" borderId="1" xfId="15" applyNumberFormat="1" applyFont="1" applyFill="1" applyBorder="1"/>
    <xf numFmtId="3" fontId="3" fillId="3" borderId="1" xfId="3" applyNumberFormat="1"/>
    <xf numFmtId="3" fontId="3" fillId="3" borderId="1" xfId="5" applyNumberFormat="1" applyFont="1" applyFill="1" applyBorder="1"/>
    <xf numFmtId="168" fontId="0" fillId="0" borderId="0" xfId="0" applyNumberFormat="1"/>
    <xf numFmtId="0" fontId="4" fillId="0" borderId="0" xfId="4" applyFill="1"/>
    <xf numFmtId="166" fontId="3" fillId="3" borderId="1" xfId="15" applyNumberFormat="1" applyFont="1" applyFill="1" applyBorder="1"/>
    <xf numFmtId="167" fontId="12" fillId="10" borderId="16" xfId="5" applyNumberFormat="1" applyFont="1" applyFill="1" applyBorder="1"/>
    <xf numFmtId="0" fontId="0" fillId="0" borderId="0" xfId="0" pivotButton="1"/>
    <xf numFmtId="0" fontId="0" fillId="0" borderId="0" xfId="0" applyAlignment="1">
      <alignment horizontal="left"/>
    </xf>
    <xf numFmtId="0" fontId="0" fillId="0" borderId="0" xfId="0" applyAlignment="1">
      <alignment horizontal="left" indent="1"/>
    </xf>
    <xf numFmtId="169" fontId="0" fillId="0" borderId="0" xfId="0" applyNumberFormat="1"/>
    <xf numFmtId="168" fontId="3" fillId="3" borderId="1" xfId="3" applyNumberFormat="1"/>
    <xf numFmtId="166" fontId="0" fillId="6" borderId="4" xfId="8" applyNumberFormat="1" applyFont="1"/>
    <xf numFmtId="166" fontId="4" fillId="6" borderId="4" xfId="8" applyNumberFormat="1" applyFont="1"/>
    <xf numFmtId="166" fontId="14" fillId="6" borderId="4" xfId="8" applyNumberFormat="1" applyFont="1"/>
    <xf numFmtId="166" fontId="0" fillId="6" borderId="4" xfId="8" applyNumberFormat="1" applyFont="1" applyAlignment="1">
      <alignment horizontal="center"/>
    </xf>
    <xf numFmtId="166" fontId="2" fillId="6" borderId="4" xfId="8" applyNumberFormat="1" applyFont="1"/>
    <xf numFmtId="4" fontId="0" fillId="0" borderId="0" xfId="0" applyNumberFormat="1"/>
    <xf numFmtId="168" fontId="8" fillId="0" borderId="0" xfId="0" applyNumberFormat="1" applyFont="1"/>
    <xf numFmtId="9" fontId="2" fillId="2" borderId="1" xfId="2" applyNumberFormat="1"/>
    <xf numFmtId="9" fontId="2" fillId="2" borderId="0" xfId="5" applyFont="1" applyFill="1" applyBorder="1"/>
    <xf numFmtId="3" fontId="0" fillId="0" borderId="0" xfId="0" applyNumberFormat="1"/>
    <xf numFmtId="165" fontId="0" fillId="0" borderId="0" xfId="0" applyNumberFormat="1"/>
    <xf numFmtId="0" fontId="12" fillId="7" borderId="0" xfId="9" applyFont="1"/>
    <xf numFmtId="170" fontId="3" fillId="3" borderId="1" xfId="3" applyNumberFormat="1"/>
    <xf numFmtId="171" fontId="3" fillId="3" borderId="1" xfId="3" applyNumberFormat="1"/>
    <xf numFmtId="167" fontId="11" fillId="3" borderId="3" xfId="5" applyNumberFormat="1" applyFont="1" applyFill="1" applyBorder="1"/>
    <xf numFmtId="0" fontId="20" fillId="0" borderId="0" xfId="4" applyFont="1"/>
    <xf numFmtId="167" fontId="2" fillId="2" borderId="1" xfId="2" applyNumberFormat="1"/>
    <xf numFmtId="167" fontId="0" fillId="0" borderId="0" xfId="0" applyNumberFormat="1"/>
    <xf numFmtId="172" fontId="8" fillId="0" borderId="0" xfId="17" applyNumberFormat="1" applyFont="1"/>
    <xf numFmtId="0" fontId="3" fillId="3" borderId="1" xfId="3" applyNumberFormat="1"/>
    <xf numFmtId="0" fontId="0" fillId="0" borderId="0" xfId="0" applyNumberFormat="1"/>
    <xf numFmtId="0" fontId="12" fillId="11" borderId="0" xfId="0" applyFont="1" applyFill="1" applyAlignment="1">
      <alignment horizontal="left"/>
    </xf>
    <xf numFmtId="0" fontId="12" fillId="11" borderId="0" xfId="0" applyNumberFormat="1" applyFont="1" applyFill="1"/>
    <xf numFmtId="0" fontId="0" fillId="12" borderId="0" xfId="0" applyFill="1" applyAlignment="1">
      <alignment horizontal="left"/>
    </xf>
    <xf numFmtId="173" fontId="0" fillId="12" borderId="0" xfId="0" applyNumberFormat="1" applyFill="1"/>
    <xf numFmtId="0" fontId="0" fillId="13" borderId="17" xfId="0" applyFill="1" applyBorder="1" applyAlignment="1">
      <alignment horizontal="left"/>
    </xf>
    <xf numFmtId="0" fontId="0" fillId="13" borderId="17" xfId="0" applyFill="1" applyBorder="1"/>
    <xf numFmtId="0" fontId="0" fillId="14" borderId="17" xfId="0" applyFill="1" applyBorder="1" applyAlignment="1">
      <alignment horizontal="left"/>
    </xf>
    <xf numFmtId="173" fontId="0" fillId="14" borderId="17" xfId="17" applyNumberFormat="1" applyFont="1" applyFill="1" applyBorder="1"/>
    <xf numFmtId="173" fontId="0" fillId="14" borderId="17" xfId="0" applyNumberFormat="1" applyFill="1" applyBorder="1"/>
    <xf numFmtId="166" fontId="0" fillId="0" borderId="0" xfId="0" applyNumberFormat="1" applyFill="1" applyAlignment="1">
      <alignment wrapText="1"/>
    </xf>
    <xf numFmtId="0" fontId="2" fillId="2" borderId="18" xfId="2" applyBorder="1"/>
    <xf numFmtId="9" fontId="2" fillId="2" borderId="19" xfId="5" applyFont="1" applyFill="1" applyBorder="1"/>
    <xf numFmtId="0" fontId="4" fillId="0" borderId="0" xfId="4" applyBorder="1"/>
    <xf numFmtId="166" fontId="3" fillId="0" borderId="0" xfId="3" applyNumberFormat="1" applyFill="1" applyBorder="1"/>
    <xf numFmtId="0" fontId="2" fillId="0" borderId="0" xfId="2" applyFill="1" applyBorder="1"/>
    <xf numFmtId="9" fontId="2" fillId="0" borderId="0" xfId="5" applyFont="1" applyFill="1" applyBorder="1"/>
    <xf numFmtId="166" fontId="11" fillId="0" borderId="0" xfId="7" applyNumberFormat="1" applyFill="1" applyBorder="1"/>
    <xf numFmtId="0" fontId="2" fillId="2" borderId="20" xfId="2" applyBorder="1"/>
    <xf numFmtId="166" fontId="11" fillId="3" borderId="21" xfId="7" applyNumberFormat="1" applyBorder="1"/>
    <xf numFmtId="174" fontId="3" fillId="3" borderId="20" xfId="3" applyNumberFormat="1" applyBorder="1"/>
    <xf numFmtId="174" fontId="2" fillId="2" borderId="1" xfId="2" applyNumberFormat="1"/>
    <xf numFmtId="0" fontId="12" fillId="7" borderId="9" xfId="9" applyFont="1" applyBorder="1" applyAlignment="1">
      <alignment horizontal="center" wrapText="1"/>
    </xf>
    <xf numFmtId="0" fontId="12" fillId="7" borderId="10" xfId="9" applyFont="1" applyBorder="1" applyAlignment="1">
      <alignment horizontal="center" wrapText="1"/>
    </xf>
    <xf numFmtId="0" fontId="12" fillId="7" borderId="11" xfId="9" applyFont="1" applyBorder="1" applyAlignment="1">
      <alignment horizontal="center" wrapText="1"/>
    </xf>
    <xf numFmtId="0" fontId="12" fillId="7" borderId="9" xfId="9" applyFont="1" applyBorder="1" applyAlignment="1">
      <alignment horizontal="center" vertical="center" wrapText="1"/>
    </xf>
    <xf numFmtId="0" fontId="12" fillId="7" borderId="10" xfId="9" applyFont="1" applyBorder="1" applyAlignment="1">
      <alignment horizontal="center" vertical="center" wrapText="1"/>
    </xf>
    <xf numFmtId="0" fontId="12" fillId="7" borderId="11" xfId="9" applyFont="1" applyBorder="1" applyAlignment="1">
      <alignment horizontal="center" vertical="center" wrapText="1"/>
    </xf>
    <xf numFmtId="0" fontId="12" fillId="9" borderId="9" xfId="11" applyFont="1" applyBorder="1" applyAlignment="1">
      <alignment horizontal="center" vertical="center"/>
    </xf>
    <xf numFmtId="0" fontId="12" fillId="9" borderId="11" xfId="11" applyFont="1" applyBorder="1" applyAlignment="1">
      <alignment horizontal="center" vertical="center"/>
    </xf>
    <xf numFmtId="0" fontId="12" fillId="9" borderId="10" xfId="11" applyFont="1" applyBorder="1" applyAlignment="1">
      <alignment horizontal="center" vertical="center"/>
    </xf>
    <xf numFmtId="0" fontId="12" fillId="7" borderId="9" xfId="9" applyFont="1" applyBorder="1" applyAlignment="1">
      <alignment horizontal="center" vertical="center"/>
    </xf>
    <xf numFmtId="0" fontId="12" fillId="7" borderId="10" xfId="9" applyFont="1" applyBorder="1" applyAlignment="1">
      <alignment horizontal="center" vertical="center"/>
    </xf>
    <xf numFmtId="0" fontId="12" fillId="7" borderId="11" xfId="9" applyFont="1" applyBorder="1" applyAlignment="1">
      <alignment horizontal="center" vertical="center"/>
    </xf>
    <xf numFmtId="0" fontId="12" fillId="8" borderId="7" xfId="10" applyFont="1" applyBorder="1" applyAlignment="1">
      <alignment horizontal="center"/>
    </xf>
    <xf numFmtId="0" fontId="12" fillId="8" borderId="8" xfId="10" applyFont="1" applyBorder="1" applyAlignment="1">
      <alignment horizontal="center"/>
    </xf>
    <xf numFmtId="0" fontId="12" fillId="8" borderId="6" xfId="10" applyFont="1" applyBorder="1" applyAlignment="1">
      <alignment horizontal="center"/>
    </xf>
    <xf numFmtId="166" fontId="12" fillId="8" borderId="6" xfId="10" applyNumberFormat="1" applyFont="1" applyBorder="1" applyAlignment="1">
      <alignment horizontal="center"/>
    </xf>
    <xf numFmtId="166" fontId="12" fillId="8" borderId="8" xfId="10" applyNumberFormat="1" applyFont="1" applyBorder="1" applyAlignment="1">
      <alignment horizontal="center"/>
    </xf>
    <xf numFmtId="0" fontId="12" fillId="8" borderId="15" xfId="10" applyFont="1" applyBorder="1" applyAlignment="1">
      <alignment horizontal="center"/>
    </xf>
    <xf numFmtId="0" fontId="12" fillId="8" borderId="0" xfId="10" applyFont="1" applyBorder="1" applyAlignment="1">
      <alignment horizontal="center"/>
    </xf>
    <xf numFmtId="166" fontId="0" fillId="0" borderId="0" xfId="0" applyNumberFormat="1" applyAlignment="1">
      <alignment horizontal="center"/>
    </xf>
    <xf numFmtId="0" fontId="4" fillId="0" borderId="0" xfId="4" applyAlignment="1">
      <alignment horizontal="center"/>
    </xf>
  </cellXfs>
  <cellStyles count="18">
    <cellStyle name="Accent1" xfId="9" builtinId="29"/>
    <cellStyle name="Accent2" xfId="10" builtinId="33"/>
    <cellStyle name="Accent5" xfId="11" builtinId="45"/>
    <cellStyle name="Calculation" xfId="3" builtinId="22"/>
    <cellStyle name="Check Cell" xfId="16" builtinId="23"/>
    <cellStyle name="Comma" xfId="15" builtinId="3"/>
    <cellStyle name="Currency" xfId="17" builtinId="4"/>
    <cellStyle name="Explanatory Text" xfId="4" builtinId="53"/>
    <cellStyle name="Heading 1" xfId="13" builtinId="16"/>
    <cellStyle name="Heading 2" xfId="6" builtinId="17"/>
    <cellStyle name="Heading 3" xfId="14" builtinId="18"/>
    <cellStyle name="Heading 4" xfId="1" builtinId="19"/>
    <cellStyle name="Input" xfId="2" builtinId="20"/>
    <cellStyle name="Linked Cell" xfId="12" builtinId="24"/>
    <cellStyle name="Normal" xfId="0" builtinId="0"/>
    <cellStyle name="Note" xfId="8" builtinId="10"/>
    <cellStyle name="Output" xfId="7" builtinId="21"/>
    <cellStyle name="Percent" xfId="5" builtinId="5"/>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542925</xdr:colOff>
      <xdr:row>12</xdr:row>
      <xdr:rowOff>173182</xdr:rowOff>
    </xdr:to>
    <xdr:sp macro="" textlink="">
      <xdr:nvSpPr>
        <xdr:cNvPr id="2" name="TextBox 1"/>
        <xdr:cNvSpPr txBox="1"/>
      </xdr:nvSpPr>
      <xdr:spPr>
        <a:xfrm>
          <a:off x="606136" y="571500"/>
          <a:ext cx="7210425" cy="188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a:p>
        <a:p>
          <a:endParaRPr lang="en-US" sz="1100" b="1"/>
        </a:p>
        <a:p>
          <a:endParaRPr lang="en-US" sz="1100" b="1"/>
        </a:p>
        <a:p>
          <a:r>
            <a:rPr lang="en-US" sz="1100" b="1"/>
            <a:t>About</a:t>
          </a:r>
          <a:r>
            <a:rPr lang="en-US" sz="1100" b="1" baseline="0"/>
            <a:t> this tool: </a:t>
          </a:r>
          <a:r>
            <a:rPr lang="en-US" sz="1100" b="0" baseline="0"/>
            <a:t>The Zambia CIP costing tool has been locked with preserved data, as of 14 August 2014. Ministries and other stakeholders who need an editable version of this file can contact </a:t>
          </a:r>
          <a:r>
            <a:rPr lang="en-US" sz="1100" b="0" u="sng" baseline="0">
              <a:solidFill>
                <a:srgbClr val="0070C0"/>
              </a:solidFill>
            </a:rPr>
            <a:t>policyinfo@thepalladiumgroup.com</a:t>
          </a:r>
          <a:r>
            <a:rPr lang="en-US" sz="1100" b="0" baseline="0"/>
            <a:t> to request an unlocked version of this file.</a:t>
          </a:r>
        </a:p>
        <a:p>
          <a:endParaRPr lang="en-US" sz="1100" b="1" baseline="0"/>
        </a:p>
        <a:p>
          <a:r>
            <a:rPr lang="en-US" sz="1100" b="0" baseline="0"/>
            <a:t>This is an earlier version of a costing tool that was developed as a product of the Health Policy Project (HPP) with support from USAID. For the final version of this tool, please see </a:t>
          </a:r>
          <a:r>
            <a:rPr lang="en-US" sz="1100" b="0" u="sng" baseline="0">
              <a:solidFill>
                <a:srgbClr val="0070C0"/>
              </a:solidFill>
            </a:rPr>
            <a:t>http://www.familyplanning2020.org/cip</a:t>
          </a:r>
        </a:p>
        <a:p>
          <a:endParaRPr lang="en-US" sz="1100" b="0" baseline="0"/>
        </a:p>
      </xdr:txBody>
    </xdr:sp>
    <xdr:clientData/>
  </xdr:twoCellAnchor>
  <xdr:twoCellAnchor editAs="oneCell">
    <xdr:from>
      <xdr:col>1</xdr:col>
      <xdr:colOff>0</xdr:colOff>
      <xdr:row>3</xdr:row>
      <xdr:rowOff>0</xdr:rowOff>
    </xdr:from>
    <xdr:to>
      <xdr:col>3</xdr:col>
      <xdr:colOff>142875</xdr:colOff>
      <xdr:row>5</xdr:row>
      <xdr:rowOff>144811</xdr:rowOff>
    </xdr:to>
    <xdr:pic>
      <xdr:nvPicPr>
        <xdr:cNvPr id="3" name="Picture 2" descr="http://transition.usaid.gov/branding/print/Horizontal_RGB_60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571500"/>
          <a:ext cx="1362075" cy="525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529668</xdr:colOff>
      <xdr:row>3</xdr:row>
      <xdr:rowOff>66675</xdr:rowOff>
    </xdr:from>
    <xdr:to>
      <xdr:col>12</xdr:col>
      <xdr:colOff>514743</xdr:colOff>
      <xdr:row>5</xdr:row>
      <xdr:rowOff>85725</xdr:rowOff>
    </xdr:to>
    <xdr:pic>
      <xdr:nvPicPr>
        <xdr:cNvPr id="4" name="Picture 3" descr="Health Policy Project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5668" y="638175"/>
          <a:ext cx="120427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ya Kaczorowski" refreshedDate="41500.990233796299" createdVersion="4" refreshedVersion="4" minRefreshableVersion="3" recordCount="1312">
  <cacheSource type="worksheet">
    <worksheetSource ref="B2:AA1314" sheet="Database for analysis"/>
  </cacheSource>
  <cacheFields count="26">
    <cacheField name="Category" numFmtId="0">
      <sharedItems count="7">
        <s v="Demand"/>
        <s v="Service delivery and access"/>
        <s v="Supervision monitoring and coordination"/>
        <s v="FP commodities"/>
        <s v="Procurement and supply chain"/>
        <s v="Policy and environment"/>
        <s v="Financing"/>
      </sharedItems>
    </cacheField>
    <cacheField name="Line item" numFmtId="0">
      <sharedItems count="97">
        <s v="Communications strategy (D.1.1)"/>
        <s v="Radio and TV (D.1.2)"/>
        <s v="Radio listening groups (D.1.2)"/>
        <s v="Advertising and printed materials (D.1.3)"/>
        <s v="Press (D.1.2)"/>
        <s v="Telecom and internet (n/a)"/>
        <s v="In-person health campaigns (D.1.4)"/>
        <s v="Champions program - train change champions (D.2.1)"/>
        <s v="Champions program - ongoing (D.2.1)"/>
        <s v="Sexual education in schools - curriculum review (n/a)"/>
        <s v="Training teachers in new curriculum (n/a)"/>
        <s v="Peer educators/ Youth CBDs (D.3.1)"/>
        <s v="ASRH/ AIDS clubs (D.3.1)"/>
        <s v="Training teachers to train existing AIDS clubs (D.3.1)"/>
        <s v="ASRH/ AIDS clubs guidelines and identification meeting (D3.1)"/>
        <s v="Advocate with youth developmental organizations (D3.2)"/>
        <s v="Pre-service training - curriculum review (SDA5.1)"/>
        <s v="Pre-service training - training of trainers (SDA5.1)"/>
        <s v="In-service training - training plan development and revision including DFPP plan, and curriculum review (SDA2.1 and SDA2.2, SDA4.3)"/>
        <s v="In-service training - training of trainers (SDA3.1)"/>
        <s v="In-service training - Dedicated FP providers (SDA4.3)"/>
        <s v="In-service training - LARC training (SDA4.1)"/>
        <s v="Training in FP supervision (SMC3.1)"/>
        <s v="Training materials - initial investment (SDA3.4 &amp; 5.1)"/>
        <s v="Mini clinics pilot (SDA8.2)"/>
        <s v="Training for CO's and MD's conducting BTLs (SDA.2.3)"/>
        <s v="Outreach activities and mobile clinics - ongoing costs (SDA6.1 and SDA8.1)"/>
        <s v="CBD training (SDA7.2 and 7.3 supplemental)"/>
        <s v="CBD amenities - initial (SDA7.1 and 7.2)"/>
        <s v="CBD amenities - ongoing (SDA7.1)"/>
        <s v="FP equipment for all health facilities (SDA10 &amp; SDA.12.1)"/>
        <s v="In-service training - training of trainers for CBDs (SDA 3.2)"/>
        <s v="Integration of FP with other health services (SDA11)"/>
        <s v="HCW registration requirements for LARCs (SDA5.2)"/>
        <s v="Contraceptives"/>
        <s v="Consumables"/>
        <s v="Quality testing (PSC2)"/>
        <s v="Procurement and forecasting meetings (PSC1.1)"/>
        <s v="FP logistics training (PSC3.2)"/>
        <s v="Distribution equipment - initial investment (PSC4.1 and PSC4.2)"/>
        <s v="Distribution equipment - ongoing costs (n/a)"/>
        <s v="Storage facilities (n/a)"/>
        <s v="Meeting to consider prepacking commodities (PSC1.2)"/>
        <s v="Extra procurement and supply chain 2"/>
        <s v="Extra procurement and supply chain 3"/>
        <s v="Review guidelines (PE3)"/>
        <s v="Policy documents (PE1.1)"/>
        <s v="International advocacy (n/a)"/>
        <s v="Consortium of FP advocates -ongoing support (PE2.2)"/>
        <s v="Consortium of FP advocates - training (PE2.1)"/>
        <s v="Extra policy and environment 3"/>
        <s v="Financing advocacy meetings to government (F1.1)"/>
        <s v="Advocacy strategy and meetings to donors (F1.2)"/>
        <s v="Extra financing 2"/>
        <s v="Extra financing 3"/>
        <s v="Data collection books (n/a)"/>
        <s v="Patient cards (n/a)"/>
        <s v="TWG meetings (SMC1.2)"/>
        <s v="Supervision and quality assurance (SMC3.2)"/>
        <s v="Supervision/ review meetings (SMC 4.3)"/>
        <s v="Surveys/ investigations (n/a)"/>
        <s v="Plan review - midway (SMC4.1)"/>
        <s v="Plan review - against DHS results (SMC4.2)"/>
        <s v="New FP division resources (SMC1.1, includes RH Logistics described in PSC4.3)"/>
        <s v="FP division equipment - initial investment (SMC1.1)"/>
        <s v="FP division equipment - renewal or scaling up (SMC1.1)"/>
        <s v="FP division equipment - ongoing (SMC1.1)"/>
        <s v="Train provincial focal points (SMC1.3)"/>
        <s v="Hire district focal points (SMC1.3)"/>
        <s v="Approve provincial objectives (SMC1.3)"/>
        <s v="Print FP plan and brochures (SMC1.3)"/>
        <s v="Develop pilot for mobile phone data collection (SMC2.1)"/>
        <s v="Train district focal points (SMC1.3)"/>
        <s v="Extra Supervision monitoring and coordination 2"/>
        <s v="Establish health system capacity (SDA1.1)"/>
        <s v="On-the-job skills updates (SDA4.2)"/>
        <s v="Provincial meeting to explain CBD scale-up (SDA7.2)"/>
        <s v="Explore opportunities for public-private partnerships (SDA8.3)"/>
        <s v="Revise CHA training curriculum and retrain (SDA9)"/>
        <s v="SDA 10 - Equiping Health Facilities"/>
        <s v="Mentorship of CO's and MD's Trained in BTLs (SDA.2.3)"/>
        <s v="Champions program - train FP promoters (D.2.1)"/>
        <s v="Training materials - initial investment (SDA4)" u="1"/>
        <s v="Extra service delivery and access 2" u="1"/>
        <s v="FP promoters program - training (D.2.1)" u="1"/>
        <s v="Extra demand 3" u="1"/>
        <s v="In-service training - training plan development and revsion, and curriculum review (SDA2.1 and SDA2.2)" u="1"/>
        <s v="Consortium of FP advocates -ongoing support (PE2)" u="1"/>
        <s v="FP equipment for all health facilities (SDA10)" u="1"/>
        <s v="Extra policy and environment 1" u="1"/>
        <s v="Extra policy and environment 2" u="1"/>
        <s v="In-service training - training plan and curriculum review (SDA2.1 and SDA2.2)" u="1"/>
        <s v="Extra demand 2" u="1"/>
        <s v="Mobile clinics - initial investment (n/a)" u="1"/>
        <s v="Extra service delivery and access 1" u="1"/>
        <s v="National change champions program - training (D.2.1)" u="1"/>
        <s v="FP division equipment - ongoing (n/a)" u="1"/>
      </sharedItems>
    </cacheField>
    <cacheField name="Regional split" numFmtId="0">
      <sharedItems containsMixedTypes="1" containsNumber="1" containsInteger="1" minValue="0" maxValue="0"/>
    </cacheField>
    <cacheField name="Region" numFmtId="0">
      <sharedItems containsMixedTypes="1" containsNumber="1" containsInteger="1" minValue="0" maxValue="0"/>
    </cacheField>
    <cacheField name="2013" numFmtId="0">
      <sharedItems containsMixedTypes="1" containsNumber="1" minValue="0" maxValue="18463135.554460838"/>
    </cacheField>
    <cacheField name="2014" numFmtId="0">
      <sharedItems containsMixedTypes="1" containsNumber="1" minValue="0" maxValue="20055233.742716581"/>
    </cacheField>
    <cacheField name="2015" numFmtId="0">
      <sharedItems containsMixedTypes="1" containsNumber="1" minValue="0" maxValue="21716165.463640198"/>
    </cacheField>
    <cacheField name="2016" numFmtId="0">
      <sharedItems containsMixedTypes="1" containsNumber="1" minValue="0" maxValue="23448252.810759358"/>
    </cacheField>
    <cacheField name="2017" numFmtId="0">
      <sharedItems containsMixedTypes="1" containsNumber="1" minValue="0" maxValue="25253881.511841416"/>
    </cacheField>
    <cacheField name="2018" numFmtId="0">
      <sharedItems containsMixedTypes="1" containsNumber="1" minValue="0" maxValue="27135502.159846369"/>
    </cacheField>
    <cacheField name="2019" numFmtId="0">
      <sharedItems containsMixedTypes="1" containsNumber="1" minValue="0" maxValue="29095631.442657202"/>
    </cacheField>
    <cacheField name="2020" numFmtId="0">
      <sharedItems containsMixedTypes="1" containsNumber="1" minValue="0" maxValue="31136853.36977398"/>
    </cacheField>
    <cacheField name="2021" numFmtId="0">
      <sharedItems containsMixedTypes="1" containsNumber="1" containsInteger="1" minValue="0" maxValue="0"/>
    </cacheField>
    <cacheField name="2022" numFmtId="0">
      <sharedItems containsMixedTypes="1" containsNumber="1" containsInteger="1" minValue="0" maxValue="0"/>
    </cacheField>
    <cacheField name="Total cost" numFmtId="0">
      <sharedItems containsSemiMixedTypes="0" containsString="0" containsNumber="1" minValue="0" maxValue="196304656.05569595"/>
    </cacheField>
    <cacheField name="2013 sum" numFmtId="0">
      <sharedItems containsSemiMixedTypes="0" containsString="0" containsNumber="1" minValue="0" maxValue="18463135.554460838"/>
    </cacheField>
    <cacheField name="2014 sum" numFmtId="0">
      <sharedItems containsSemiMixedTypes="0" containsString="0" containsNumber="1" minValue="0" maxValue="20055233.742716581"/>
    </cacheField>
    <cacheField name="2015 sum" numFmtId="0">
      <sharedItems containsSemiMixedTypes="0" containsString="0" containsNumber="1" minValue="0" maxValue="21716165.463640198"/>
    </cacheField>
    <cacheField name="2016 sum" numFmtId="0">
      <sharedItems containsSemiMixedTypes="0" containsString="0" containsNumber="1" minValue="0" maxValue="23448252.810759358"/>
    </cacheField>
    <cacheField name="2017 sum" numFmtId="0">
      <sharedItems containsSemiMixedTypes="0" containsString="0" containsNumber="1" minValue="0" maxValue="25253881.511841416"/>
    </cacheField>
    <cacheField name="2018 sum" numFmtId="0">
      <sharedItems containsSemiMixedTypes="0" containsString="0" containsNumber="1" minValue="0" maxValue="27135502.159846369"/>
    </cacheField>
    <cacheField name="2019 sum" numFmtId="0">
      <sharedItems containsSemiMixedTypes="0" containsString="0" containsNumber="1" minValue="0" maxValue="29095631.442657202"/>
    </cacheField>
    <cacheField name="2020 sum" numFmtId="0">
      <sharedItems containsSemiMixedTypes="0" containsString="0" containsNumber="1" minValue="0" maxValue="31136853.36977398"/>
    </cacheField>
    <cacheField name="2021 sum" numFmtId="0">
      <sharedItems containsSemiMixedTypes="0" containsString="0" containsNumber="1" containsInteger="1" minValue="0" maxValue="0"/>
    </cacheField>
    <cacheField name="2022 sum" numFmtId="0">
      <sharedItems containsSemiMixedTypes="0" containsString="0" containsNumber="1" containsInteger="1" minValue="0" maxValue="0"/>
    </cacheField>
    <cacheField name="Priority activities" numFmtId="0">
      <sharedItems count="7">
        <s v="FP demand generation and behaviour change communication"/>
        <s v="n/a"/>
        <s v="Adolescents and youth"/>
        <s v="Staff and training"/>
        <s v="Rural and underserved access to FP services"/>
        <s v="Stockouts at service delivery points"/>
        <s v="FP governance structure and program coordinatio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12">
  <r>
    <x v="0"/>
    <x v="0"/>
    <s v="Central level"/>
    <s v="Central"/>
    <n v="0"/>
    <n v="0"/>
    <n v="0"/>
    <n v="0"/>
    <n v="0"/>
    <n v="0"/>
    <n v="0"/>
    <n v="0"/>
    <n v="0"/>
    <n v="0"/>
    <n v="0"/>
    <n v="0"/>
    <n v="0"/>
    <n v="0"/>
    <n v="0"/>
    <n v="0"/>
    <n v="0"/>
    <n v="0"/>
    <n v="0"/>
    <n v="0"/>
    <n v="0"/>
    <x v="0"/>
  </r>
  <r>
    <x v="0"/>
    <x v="0"/>
    <s v="Central level"/>
    <s v="Copperbelt"/>
    <n v="0"/>
    <n v="0"/>
    <n v="0"/>
    <n v="0"/>
    <n v="0"/>
    <n v="0"/>
    <n v="0"/>
    <n v="0"/>
    <n v="0"/>
    <n v="0"/>
    <n v="0"/>
    <n v="0"/>
    <n v="0"/>
    <n v="0"/>
    <n v="0"/>
    <n v="0"/>
    <n v="0"/>
    <n v="0"/>
    <n v="0"/>
    <n v="0"/>
    <n v="0"/>
    <x v="0"/>
  </r>
  <r>
    <x v="0"/>
    <x v="0"/>
    <s v="Central level"/>
    <s v="Eastern"/>
    <n v="0"/>
    <n v="0"/>
    <n v="0"/>
    <n v="0"/>
    <n v="0"/>
    <n v="0"/>
    <n v="0"/>
    <n v="0"/>
    <n v="0"/>
    <n v="0"/>
    <n v="0"/>
    <n v="0"/>
    <n v="0"/>
    <n v="0"/>
    <n v="0"/>
    <n v="0"/>
    <n v="0"/>
    <n v="0"/>
    <n v="0"/>
    <n v="0"/>
    <n v="0"/>
    <x v="0"/>
  </r>
  <r>
    <x v="0"/>
    <x v="0"/>
    <s v="Central level"/>
    <s v="Luapula"/>
    <n v="0"/>
    <n v="0"/>
    <n v="0"/>
    <n v="0"/>
    <n v="0"/>
    <n v="0"/>
    <n v="0"/>
    <n v="0"/>
    <n v="0"/>
    <n v="0"/>
    <n v="0"/>
    <n v="0"/>
    <n v="0"/>
    <n v="0"/>
    <n v="0"/>
    <n v="0"/>
    <n v="0"/>
    <n v="0"/>
    <n v="0"/>
    <n v="0"/>
    <n v="0"/>
    <x v="0"/>
  </r>
  <r>
    <x v="0"/>
    <x v="0"/>
    <s v="Central level"/>
    <s v="Lusaka"/>
    <n v="0"/>
    <n v="0"/>
    <n v="0"/>
    <n v="0"/>
    <n v="0"/>
    <n v="0"/>
    <n v="0"/>
    <n v="0"/>
    <n v="0"/>
    <n v="0"/>
    <n v="0"/>
    <n v="0"/>
    <n v="0"/>
    <n v="0"/>
    <n v="0"/>
    <n v="0"/>
    <n v="0"/>
    <n v="0"/>
    <n v="0"/>
    <n v="0"/>
    <n v="0"/>
    <x v="0"/>
  </r>
  <r>
    <x v="0"/>
    <x v="0"/>
    <s v="Central level"/>
    <s v="Muchinga"/>
    <n v="0"/>
    <n v="0"/>
    <n v="0"/>
    <n v="0"/>
    <n v="0"/>
    <n v="0"/>
    <n v="0"/>
    <n v="0"/>
    <n v="0"/>
    <n v="0"/>
    <n v="0"/>
    <n v="0"/>
    <n v="0"/>
    <n v="0"/>
    <n v="0"/>
    <n v="0"/>
    <n v="0"/>
    <n v="0"/>
    <n v="0"/>
    <n v="0"/>
    <n v="0"/>
    <x v="0"/>
  </r>
  <r>
    <x v="0"/>
    <x v="0"/>
    <s v="Central level"/>
    <s v="Northern"/>
    <n v="0"/>
    <n v="0"/>
    <n v="0"/>
    <n v="0"/>
    <n v="0"/>
    <n v="0"/>
    <n v="0"/>
    <n v="0"/>
    <n v="0"/>
    <n v="0"/>
    <n v="0"/>
    <n v="0"/>
    <n v="0"/>
    <n v="0"/>
    <n v="0"/>
    <n v="0"/>
    <n v="0"/>
    <n v="0"/>
    <n v="0"/>
    <n v="0"/>
    <n v="0"/>
    <x v="0"/>
  </r>
  <r>
    <x v="0"/>
    <x v="0"/>
    <s v="Central level"/>
    <s v="North Western"/>
    <n v="0"/>
    <n v="0"/>
    <n v="0"/>
    <n v="0"/>
    <n v="0"/>
    <n v="0"/>
    <n v="0"/>
    <n v="0"/>
    <n v="0"/>
    <n v="0"/>
    <n v="0"/>
    <n v="0"/>
    <n v="0"/>
    <n v="0"/>
    <n v="0"/>
    <n v="0"/>
    <n v="0"/>
    <n v="0"/>
    <n v="0"/>
    <n v="0"/>
    <n v="0"/>
    <x v="0"/>
  </r>
  <r>
    <x v="0"/>
    <x v="0"/>
    <s v="Central level"/>
    <s v="Southern"/>
    <n v="0"/>
    <n v="0"/>
    <n v="0"/>
    <n v="0"/>
    <n v="0"/>
    <n v="0"/>
    <n v="0"/>
    <n v="0"/>
    <n v="0"/>
    <n v="0"/>
    <n v="0"/>
    <n v="0"/>
    <n v="0"/>
    <n v="0"/>
    <n v="0"/>
    <n v="0"/>
    <n v="0"/>
    <n v="0"/>
    <n v="0"/>
    <n v="0"/>
    <n v="0"/>
    <x v="0"/>
  </r>
  <r>
    <x v="0"/>
    <x v="0"/>
    <s v="Central level"/>
    <s v="Western"/>
    <n v="0"/>
    <n v="0"/>
    <n v="0"/>
    <n v="0"/>
    <n v="0"/>
    <n v="0"/>
    <n v="0"/>
    <n v="0"/>
    <n v="0"/>
    <n v="0"/>
    <n v="0"/>
    <n v="0"/>
    <n v="0"/>
    <n v="0"/>
    <n v="0"/>
    <n v="0"/>
    <n v="0"/>
    <n v="0"/>
    <n v="0"/>
    <n v="0"/>
    <n v="0"/>
    <x v="0"/>
  </r>
  <r>
    <x v="0"/>
    <x v="0"/>
    <s v="Central level"/>
    <n v="0"/>
    <n v="0"/>
    <n v="0"/>
    <n v="0"/>
    <n v="0"/>
    <n v="0"/>
    <n v="0"/>
    <n v="0"/>
    <n v="0"/>
    <n v="0"/>
    <n v="0"/>
    <n v="0"/>
    <n v="0"/>
    <n v="0"/>
    <n v="0"/>
    <n v="0"/>
    <n v="0"/>
    <n v="0"/>
    <n v="0"/>
    <n v="0"/>
    <n v="0"/>
    <n v="0"/>
    <x v="0"/>
  </r>
  <r>
    <x v="0"/>
    <x v="0"/>
    <s v="Central level"/>
    <n v="0"/>
    <n v="0"/>
    <n v="0"/>
    <n v="0"/>
    <n v="0"/>
    <n v="0"/>
    <n v="0"/>
    <n v="0"/>
    <n v="0"/>
    <n v="0"/>
    <n v="0"/>
    <n v="0"/>
    <n v="0"/>
    <n v="0"/>
    <n v="0"/>
    <n v="0"/>
    <n v="0"/>
    <n v="0"/>
    <n v="0"/>
    <n v="0"/>
    <n v="0"/>
    <n v="0"/>
    <x v="0"/>
  </r>
  <r>
    <x v="0"/>
    <x v="0"/>
    <s v="Central level"/>
    <n v="0"/>
    <n v="0"/>
    <n v="0"/>
    <n v="0"/>
    <n v="0"/>
    <n v="0"/>
    <n v="0"/>
    <n v="0"/>
    <n v="0"/>
    <n v="0"/>
    <n v="0"/>
    <n v="0"/>
    <n v="0"/>
    <n v="0"/>
    <n v="0"/>
    <n v="0"/>
    <n v="0"/>
    <n v="0"/>
    <n v="0"/>
    <n v="0"/>
    <n v="0"/>
    <n v="0"/>
    <x v="0"/>
  </r>
  <r>
    <x v="0"/>
    <x v="0"/>
    <s v="Central level"/>
    <n v="0"/>
    <n v="0"/>
    <n v="0"/>
    <n v="0"/>
    <n v="0"/>
    <n v="0"/>
    <n v="0"/>
    <n v="0"/>
    <n v="0"/>
    <n v="0"/>
    <n v="0"/>
    <n v="0"/>
    <n v="0"/>
    <n v="0"/>
    <n v="0"/>
    <n v="0"/>
    <n v="0"/>
    <n v="0"/>
    <n v="0"/>
    <n v="0"/>
    <n v="0"/>
    <n v="0"/>
    <x v="0"/>
  </r>
  <r>
    <x v="0"/>
    <x v="0"/>
    <s v="Central level"/>
    <n v="0"/>
    <n v="0"/>
    <n v="0"/>
    <n v="0"/>
    <n v="0"/>
    <n v="0"/>
    <n v="0"/>
    <n v="0"/>
    <n v="0"/>
    <n v="0"/>
    <n v="0"/>
    <n v="0"/>
    <n v="0"/>
    <n v="0"/>
    <n v="0"/>
    <n v="0"/>
    <n v="0"/>
    <n v="0"/>
    <n v="0"/>
    <n v="0"/>
    <n v="0"/>
    <n v="0"/>
    <x v="0"/>
  </r>
  <r>
    <x v="0"/>
    <x v="0"/>
    <s v="Central level"/>
    <s v="National-level"/>
    <n v="75000"/>
    <n v="0"/>
    <n v="0"/>
    <n v="0"/>
    <n v="0"/>
    <n v="0"/>
    <n v="0"/>
    <n v="0"/>
    <n v="0"/>
    <n v="0"/>
    <n v="75000"/>
    <n v="75000"/>
    <n v="0"/>
    <n v="0"/>
    <n v="0"/>
    <n v="0"/>
    <n v="0"/>
    <n v="0"/>
    <n v="0"/>
    <n v="0"/>
    <n v="0"/>
    <x v="0"/>
  </r>
  <r>
    <x v="0"/>
    <x v="1"/>
    <s v="Central level"/>
    <s v="Central"/>
    <n v="0"/>
    <n v="0"/>
    <n v="0"/>
    <n v="0"/>
    <n v="0"/>
    <n v="0"/>
    <n v="0"/>
    <n v="0"/>
    <n v="0"/>
    <n v="0"/>
    <n v="0"/>
    <n v="0"/>
    <n v="0"/>
    <n v="0"/>
    <n v="0"/>
    <n v="0"/>
    <n v="0"/>
    <n v="0"/>
    <n v="0"/>
    <n v="0"/>
    <n v="0"/>
    <x v="0"/>
  </r>
  <r>
    <x v="0"/>
    <x v="1"/>
    <s v="Central level"/>
    <s v="Copperbelt"/>
    <n v="0"/>
    <n v="0"/>
    <n v="0"/>
    <n v="0"/>
    <n v="0"/>
    <n v="0"/>
    <n v="0"/>
    <n v="0"/>
    <n v="0"/>
    <n v="0"/>
    <n v="0"/>
    <n v="0"/>
    <n v="0"/>
    <n v="0"/>
    <n v="0"/>
    <n v="0"/>
    <n v="0"/>
    <n v="0"/>
    <n v="0"/>
    <n v="0"/>
    <n v="0"/>
    <x v="0"/>
  </r>
  <r>
    <x v="0"/>
    <x v="1"/>
    <s v="Central level"/>
    <s v="Eastern"/>
    <n v="0"/>
    <n v="0"/>
    <n v="0"/>
    <n v="0"/>
    <n v="0"/>
    <n v="0"/>
    <n v="0"/>
    <n v="0"/>
    <n v="0"/>
    <n v="0"/>
    <n v="0"/>
    <n v="0"/>
    <n v="0"/>
    <n v="0"/>
    <n v="0"/>
    <n v="0"/>
    <n v="0"/>
    <n v="0"/>
    <n v="0"/>
    <n v="0"/>
    <n v="0"/>
    <x v="0"/>
  </r>
  <r>
    <x v="0"/>
    <x v="1"/>
    <s v="Central level"/>
    <s v="Luapula"/>
    <n v="0"/>
    <n v="0"/>
    <n v="0"/>
    <n v="0"/>
    <n v="0"/>
    <n v="0"/>
    <n v="0"/>
    <n v="0"/>
    <n v="0"/>
    <n v="0"/>
    <n v="0"/>
    <n v="0"/>
    <n v="0"/>
    <n v="0"/>
    <n v="0"/>
    <n v="0"/>
    <n v="0"/>
    <n v="0"/>
    <n v="0"/>
    <n v="0"/>
    <n v="0"/>
    <x v="0"/>
  </r>
  <r>
    <x v="0"/>
    <x v="1"/>
    <s v="Central level"/>
    <s v="Lusaka"/>
    <n v="0"/>
    <n v="0"/>
    <n v="0"/>
    <n v="0"/>
    <n v="0"/>
    <n v="0"/>
    <n v="0"/>
    <n v="0"/>
    <n v="0"/>
    <n v="0"/>
    <n v="0"/>
    <n v="0"/>
    <n v="0"/>
    <n v="0"/>
    <n v="0"/>
    <n v="0"/>
    <n v="0"/>
    <n v="0"/>
    <n v="0"/>
    <n v="0"/>
    <n v="0"/>
    <x v="0"/>
  </r>
  <r>
    <x v="0"/>
    <x v="1"/>
    <s v="Central level"/>
    <s v="Muchinga"/>
    <n v="0"/>
    <n v="0"/>
    <n v="0"/>
    <n v="0"/>
    <n v="0"/>
    <n v="0"/>
    <n v="0"/>
    <n v="0"/>
    <n v="0"/>
    <n v="0"/>
    <n v="0"/>
    <n v="0"/>
    <n v="0"/>
    <n v="0"/>
    <n v="0"/>
    <n v="0"/>
    <n v="0"/>
    <n v="0"/>
    <n v="0"/>
    <n v="0"/>
    <n v="0"/>
    <x v="0"/>
  </r>
  <r>
    <x v="0"/>
    <x v="1"/>
    <s v="Central level"/>
    <s v="Northern"/>
    <n v="0"/>
    <n v="0"/>
    <n v="0"/>
    <n v="0"/>
    <n v="0"/>
    <n v="0"/>
    <n v="0"/>
    <n v="0"/>
    <n v="0"/>
    <n v="0"/>
    <n v="0"/>
    <n v="0"/>
    <n v="0"/>
    <n v="0"/>
    <n v="0"/>
    <n v="0"/>
    <n v="0"/>
    <n v="0"/>
    <n v="0"/>
    <n v="0"/>
    <n v="0"/>
    <x v="0"/>
  </r>
  <r>
    <x v="0"/>
    <x v="1"/>
    <s v="Central level"/>
    <s v="North Western"/>
    <n v="0"/>
    <n v="0"/>
    <n v="0"/>
    <n v="0"/>
    <n v="0"/>
    <n v="0"/>
    <n v="0"/>
    <n v="0"/>
    <n v="0"/>
    <n v="0"/>
    <n v="0"/>
    <n v="0"/>
    <n v="0"/>
    <n v="0"/>
    <n v="0"/>
    <n v="0"/>
    <n v="0"/>
    <n v="0"/>
    <n v="0"/>
    <n v="0"/>
    <n v="0"/>
    <x v="0"/>
  </r>
  <r>
    <x v="0"/>
    <x v="1"/>
    <s v="Central level"/>
    <s v="Southern"/>
    <n v="0"/>
    <n v="0"/>
    <n v="0"/>
    <n v="0"/>
    <n v="0"/>
    <n v="0"/>
    <n v="0"/>
    <n v="0"/>
    <n v="0"/>
    <n v="0"/>
    <n v="0"/>
    <n v="0"/>
    <n v="0"/>
    <n v="0"/>
    <n v="0"/>
    <n v="0"/>
    <n v="0"/>
    <n v="0"/>
    <n v="0"/>
    <n v="0"/>
    <n v="0"/>
    <x v="0"/>
  </r>
  <r>
    <x v="0"/>
    <x v="1"/>
    <s v="Central level"/>
    <s v="Western"/>
    <n v="0"/>
    <n v="0"/>
    <n v="0"/>
    <n v="0"/>
    <n v="0"/>
    <n v="0"/>
    <n v="0"/>
    <n v="0"/>
    <n v="0"/>
    <n v="0"/>
    <n v="0"/>
    <n v="0"/>
    <n v="0"/>
    <n v="0"/>
    <n v="0"/>
    <n v="0"/>
    <n v="0"/>
    <n v="0"/>
    <n v="0"/>
    <n v="0"/>
    <n v="0"/>
    <x v="0"/>
  </r>
  <r>
    <x v="0"/>
    <x v="1"/>
    <s v="Central level"/>
    <n v="0"/>
    <n v="0"/>
    <n v="0"/>
    <n v="0"/>
    <n v="0"/>
    <n v="0"/>
    <n v="0"/>
    <n v="0"/>
    <n v="0"/>
    <n v="0"/>
    <n v="0"/>
    <n v="0"/>
    <n v="0"/>
    <n v="0"/>
    <n v="0"/>
    <n v="0"/>
    <n v="0"/>
    <n v="0"/>
    <n v="0"/>
    <n v="0"/>
    <n v="0"/>
    <n v="0"/>
    <x v="0"/>
  </r>
  <r>
    <x v="0"/>
    <x v="1"/>
    <s v="Central level"/>
    <n v="0"/>
    <n v="0"/>
    <n v="0"/>
    <n v="0"/>
    <n v="0"/>
    <n v="0"/>
    <n v="0"/>
    <n v="0"/>
    <n v="0"/>
    <n v="0"/>
    <n v="0"/>
    <n v="0"/>
    <n v="0"/>
    <n v="0"/>
    <n v="0"/>
    <n v="0"/>
    <n v="0"/>
    <n v="0"/>
    <n v="0"/>
    <n v="0"/>
    <n v="0"/>
    <n v="0"/>
    <x v="0"/>
  </r>
  <r>
    <x v="0"/>
    <x v="1"/>
    <s v="Central level"/>
    <n v="0"/>
    <n v="0"/>
    <n v="0"/>
    <n v="0"/>
    <n v="0"/>
    <n v="0"/>
    <n v="0"/>
    <n v="0"/>
    <n v="0"/>
    <n v="0"/>
    <n v="0"/>
    <n v="0"/>
    <n v="0"/>
    <n v="0"/>
    <n v="0"/>
    <n v="0"/>
    <n v="0"/>
    <n v="0"/>
    <n v="0"/>
    <n v="0"/>
    <n v="0"/>
    <n v="0"/>
    <x v="0"/>
  </r>
  <r>
    <x v="0"/>
    <x v="1"/>
    <s v="Central level"/>
    <n v="0"/>
    <n v="0"/>
    <n v="0"/>
    <n v="0"/>
    <n v="0"/>
    <n v="0"/>
    <n v="0"/>
    <n v="0"/>
    <n v="0"/>
    <n v="0"/>
    <n v="0"/>
    <n v="0"/>
    <n v="0"/>
    <n v="0"/>
    <n v="0"/>
    <n v="0"/>
    <n v="0"/>
    <n v="0"/>
    <n v="0"/>
    <n v="0"/>
    <n v="0"/>
    <n v="0"/>
    <x v="0"/>
  </r>
  <r>
    <x v="0"/>
    <x v="1"/>
    <s v="Central level"/>
    <n v="0"/>
    <n v="0"/>
    <n v="0"/>
    <n v="0"/>
    <n v="0"/>
    <n v="0"/>
    <n v="0"/>
    <n v="0"/>
    <n v="0"/>
    <n v="0"/>
    <n v="0"/>
    <n v="0"/>
    <n v="0"/>
    <n v="0"/>
    <n v="0"/>
    <n v="0"/>
    <n v="0"/>
    <n v="0"/>
    <n v="0"/>
    <n v="0"/>
    <n v="0"/>
    <n v="0"/>
    <x v="0"/>
  </r>
  <r>
    <x v="0"/>
    <x v="1"/>
    <s v="Central level"/>
    <s v="National-level"/>
    <n v="0"/>
    <n v="581900"/>
    <n v="581900"/>
    <n v="581900"/>
    <n v="581900"/>
    <n v="581900"/>
    <n v="581900"/>
    <n v="581900"/>
    <n v="0"/>
    <n v="0"/>
    <n v="4073300"/>
    <n v="0"/>
    <n v="581900"/>
    <n v="581900"/>
    <n v="581900"/>
    <n v="581900"/>
    <n v="581900"/>
    <n v="581900"/>
    <n v="581900"/>
    <n v="0"/>
    <n v="0"/>
    <x v="0"/>
  </r>
  <r>
    <x v="0"/>
    <x v="2"/>
    <s v="Health centres - rural"/>
    <s v="Central"/>
    <n v="0"/>
    <n v="89801.324503311262"/>
    <n v="89801.324503311262"/>
    <n v="89801.324503311262"/>
    <n v="89801.324503311262"/>
    <n v="89801.324503311262"/>
    <n v="89801.324503311262"/>
    <n v="89801.324503311262"/>
    <n v="0"/>
    <n v="0"/>
    <n v="628609.2715231789"/>
    <n v="0"/>
    <n v="89801.324503311262"/>
    <n v="89801.324503311262"/>
    <n v="89801.324503311262"/>
    <n v="89801.324503311262"/>
    <n v="89801.324503311262"/>
    <n v="89801.324503311262"/>
    <n v="89801.324503311262"/>
    <n v="0"/>
    <n v="0"/>
    <x v="0"/>
  </r>
  <r>
    <x v="0"/>
    <x v="2"/>
    <s v="Health centres - rural"/>
    <s v="Copperbelt"/>
    <n v="0"/>
    <n v="42119.205298013243"/>
    <n v="42119.205298013243"/>
    <n v="42119.205298013243"/>
    <n v="42119.205298013243"/>
    <n v="42119.205298013243"/>
    <n v="42119.205298013243"/>
    <n v="42119.205298013243"/>
    <n v="0"/>
    <n v="0"/>
    <n v="294834.43708609266"/>
    <n v="0"/>
    <n v="42119.205298013243"/>
    <n v="42119.205298013243"/>
    <n v="42119.205298013243"/>
    <n v="42119.205298013243"/>
    <n v="42119.205298013243"/>
    <n v="42119.205298013243"/>
    <n v="42119.205298013243"/>
    <n v="0"/>
    <n v="0"/>
    <x v="0"/>
  </r>
  <r>
    <x v="0"/>
    <x v="2"/>
    <s v="Health centres - rural"/>
    <s v="Eastern"/>
    <n v="0"/>
    <n v="108874.17218543046"/>
    <n v="108874.17218543046"/>
    <n v="108874.17218543046"/>
    <n v="108874.17218543046"/>
    <n v="108874.17218543046"/>
    <n v="108874.17218543046"/>
    <n v="108874.17218543046"/>
    <n v="0"/>
    <n v="0"/>
    <n v="762119.20529801317"/>
    <n v="0"/>
    <n v="108874.17218543046"/>
    <n v="108874.17218543046"/>
    <n v="108874.17218543046"/>
    <n v="108874.17218543046"/>
    <n v="108874.17218543046"/>
    <n v="108874.17218543046"/>
    <n v="108874.17218543046"/>
    <n v="0"/>
    <n v="0"/>
    <x v="0"/>
  </r>
  <r>
    <x v="0"/>
    <x v="2"/>
    <s v="Health centres - rural"/>
    <s v="Luapula"/>
    <n v="0"/>
    <n v="99337.748344370862"/>
    <n v="99337.748344370862"/>
    <n v="99337.748344370862"/>
    <n v="99337.748344370862"/>
    <n v="99337.748344370862"/>
    <n v="99337.748344370862"/>
    <n v="99337.748344370862"/>
    <n v="0"/>
    <n v="0"/>
    <n v="695364.23841059604"/>
    <n v="0"/>
    <n v="99337.748344370862"/>
    <n v="99337.748344370862"/>
    <n v="99337.748344370862"/>
    <n v="99337.748344370862"/>
    <n v="99337.748344370862"/>
    <n v="99337.748344370862"/>
    <n v="99337.748344370862"/>
    <n v="0"/>
    <n v="0"/>
    <x v="0"/>
  </r>
  <r>
    <x v="0"/>
    <x v="2"/>
    <s v="Health centres - rural"/>
    <s v="Lusaka"/>
    <n v="0"/>
    <n v="37350.993377483443"/>
    <n v="37350.993377483443"/>
    <n v="37350.993377483443"/>
    <n v="37350.993377483443"/>
    <n v="37350.993377483443"/>
    <n v="37350.993377483443"/>
    <n v="37350.993377483443"/>
    <n v="0"/>
    <n v="0"/>
    <n v="261456.95364238412"/>
    <n v="0"/>
    <n v="37350.993377483443"/>
    <n v="37350.993377483443"/>
    <n v="37350.993377483443"/>
    <n v="37350.993377483443"/>
    <n v="37350.993377483443"/>
    <n v="37350.993377483443"/>
    <n v="37350.993377483443"/>
    <n v="0"/>
    <n v="0"/>
    <x v="0"/>
  </r>
  <r>
    <x v="0"/>
    <x v="2"/>
    <s v="Health centres - rural"/>
    <s v="Muchinga"/>
    <n v="0"/>
    <n v="56423.841059602652"/>
    <n v="56423.841059602652"/>
    <n v="56423.841059602652"/>
    <n v="56423.841059602652"/>
    <n v="56423.841059602652"/>
    <n v="56423.841059602652"/>
    <n v="56423.841059602652"/>
    <n v="0"/>
    <n v="0"/>
    <n v="394966.88741721865"/>
    <n v="0"/>
    <n v="56423.841059602652"/>
    <n v="56423.841059602652"/>
    <n v="56423.841059602652"/>
    <n v="56423.841059602652"/>
    <n v="56423.841059602652"/>
    <n v="56423.841059602652"/>
    <n v="56423.841059602652"/>
    <n v="0"/>
    <n v="0"/>
    <x v="0"/>
  </r>
  <r>
    <x v="0"/>
    <x v="2"/>
    <s v="Health centres - rural"/>
    <s v="Northern"/>
    <n v="0"/>
    <n v="73907.284768211917"/>
    <n v="73907.284768211917"/>
    <n v="73907.284768211917"/>
    <n v="73907.284768211917"/>
    <n v="73907.284768211917"/>
    <n v="73907.284768211917"/>
    <n v="73907.284768211917"/>
    <n v="0"/>
    <n v="0"/>
    <n v="517350.99337748333"/>
    <n v="0"/>
    <n v="73907.284768211917"/>
    <n v="73907.284768211917"/>
    <n v="73907.284768211917"/>
    <n v="73907.284768211917"/>
    <n v="73907.284768211917"/>
    <n v="73907.284768211917"/>
    <n v="73907.284768211917"/>
    <n v="0"/>
    <n v="0"/>
    <x v="0"/>
  </r>
  <r>
    <x v="0"/>
    <x v="2"/>
    <s v="Health centres - rural"/>
    <s v="North Western"/>
    <n v="0"/>
    <n v="95364.238410596037"/>
    <n v="95364.238410596037"/>
    <n v="95364.238410596037"/>
    <n v="95364.238410596037"/>
    <n v="95364.238410596037"/>
    <n v="95364.238410596037"/>
    <n v="95364.238410596037"/>
    <n v="0"/>
    <n v="0"/>
    <n v="667549.66887417226"/>
    <n v="0"/>
    <n v="95364.238410596037"/>
    <n v="95364.238410596037"/>
    <n v="95364.238410596037"/>
    <n v="95364.238410596037"/>
    <n v="95364.238410596037"/>
    <n v="95364.238410596037"/>
    <n v="95364.238410596037"/>
    <n v="0"/>
    <n v="0"/>
    <x v="0"/>
  </r>
  <r>
    <x v="0"/>
    <x v="2"/>
    <s v="Health centres - rural"/>
    <s v="Southern"/>
    <n v="0"/>
    <n v="137483.44370860929"/>
    <n v="137483.44370860929"/>
    <n v="137483.44370860929"/>
    <n v="137483.44370860929"/>
    <n v="137483.44370860929"/>
    <n v="137483.44370860929"/>
    <n v="137483.44370860929"/>
    <n v="0"/>
    <n v="0"/>
    <n v="962384.10596026515"/>
    <n v="0"/>
    <n v="137483.44370860929"/>
    <n v="137483.44370860929"/>
    <n v="137483.44370860929"/>
    <n v="137483.44370860929"/>
    <n v="137483.44370860929"/>
    <n v="137483.44370860929"/>
    <n v="137483.44370860929"/>
    <n v="0"/>
    <n v="0"/>
    <x v="0"/>
  </r>
  <r>
    <x v="0"/>
    <x v="2"/>
    <s v="Health centres - rural"/>
    <s v="Western"/>
    <n v="0"/>
    <n v="99337.748344370862"/>
    <n v="99337.748344370862"/>
    <n v="99337.748344370862"/>
    <n v="99337.748344370862"/>
    <n v="99337.748344370862"/>
    <n v="99337.748344370862"/>
    <n v="99337.748344370862"/>
    <n v="0"/>
    <n v="0"/>
    <n v="695364.23841059604"/>
    <n v="0"/>
    <n v="99337.748344370862"/>
    <n v="99337.748344370862"/>
    <n v="99337.748344370862"/>
    <n v="99337.748344370862"/>
    <n v="99337.748344370862"/>
    <n v="99337.748344370862"/>
    <n v="99337.748344370862"/>
    <n v="0"/>
    <n v="0"/>
    <x v="0"/>
  </r>
  <r>
    <x v="0"/>
    <x v="2"/>
    <s v="Health centres - rural"/>
    <n v="0"/>
    <n v="0"/>
    <n v="0"/>
    <n v="0"/>
    <n v="0"/>
    <n v="0"/>
    <n v="0"/>
    <n v="0"/>
    <n v="0"/>
    <n v="0"/>
    <n v="0"/>
    <n v="0"/>
    <n v="0"/>
    <n v="0"/>
    <n v="0"/>
    <n v="0"/>
    <n v="0"/>
    <n v="0"/>
    <n v="0"/>
    <n v="0"/>
    <n v="0"/>
    <n v="0"/>
    <x v="0"/>
  </r>
  <r>
    <x v="0"/>
    <x v="2"/>
    <s v="Health centres - rural"/>
    <n v="0"/>
    <n v="0"/>
    <n v="0"/>
    <n v="0"/>
    <n v="0"/>
    <n v="0"/>
    <n v="0"/>
    <n v="0"/>
    <n v="0"/>
    <n v="0"/>
    <n v="0"/>
    <n v="0"/>
    <n v="0"/>
    <n v="0"/>
    <n v="0"/>
    <n v="0"/>
    <n v="0"/>
    <n v="0"/>
    <n v="0"/>
    <n v="0"/>
    <n v="0"/>
    <n v="0"/>
    <x v="0"/>
  </r>
  <r>
    <x v="0"/>
    <x v="2"/>
    <s v="Health centres - rural"/>
    <n v="0"/>
    <n v="0"/>
    <n v="0"/>
    <n v="0"/>
    <n v="0"/>
    <n v="0"/>
    <n v="0"/>
    <n v="0"/>
    <n v="0"/>
    <n v="0"/>
    <n v="0"/>
    <n v="0"/>
    <n v="0"/>
    <n v="0"/>
    <n v="0"/>
    <n v="0"/>
    <n v="0"/>
    <n v="0"/>
    <n v="0"/>
    <n v="0"/>
    <n v="0"/>
    <n v="0"/>
    <x v="0"/>
  </r>
  <r>
    <x v="0"/>
    <x v="2"/>
    <s v="Health centres - rural"/>
    <n v="0"/>
    <n v="0"/>
    <n v="0"/>
    <n v="0"/>
    <n v="0"/>
    <n v="0"/>
    <n v="0"/>
    <n v="0"/>
    <n v="0"/>
    <n v="0"/>
    <n v="0"/>
    <n v="0"/>
    <n v="0"/>
    <n v="0"/>
    <n v="0"/>
    <n v="0"/>
    <n v="0"/>
    <n v="0"/>
    <n v="0"/>
    <n v="0"/>
    <n v="0"/>
    <n v="0"/>
    <x v="0"/>
  </r>
  <r>
    <x v="0"/>
    <x v="2"/>
    <s v="Health centres - rural"/>
    <n v="0"/>
    <n v="0"/>
    <n v="0"/>
    <n v="0"/>
    <n v="0"/>
    <n v="0"/>
    <n v="0"/>
    <n v="0"/>
    <n v="0"/>
    <n v="0"/>
    <n v="0"/>
    <n v="0"/>
    <n v="0"/>
    <n v="0"/>
    <n v="0"/>
    <n v="0"/>
    <n v="0"/>
    <n v="0"/>
    <n v="0"/>
    <n v="0"/>
    <n v="0"/>
    <n v="0"/>
    <x v="0"/>
  </r>
  <r>
    <x v="0"/>
    <x v="2"/>
    <s v="Health centres - rural"/>
    <s v="National-level"/>
    <n v="0"/>
    <n v="0"/>
    <n v="0"/>
    <n v="0"/>
    <n v="0"/>
    <n v="0"/>
    <n v="0"/>
    <n v="0"/>
    <n v="0"/>
    <n v="0"/>
    <n v="0"/>
    <n v="0"/>
    <n v="0"/>
    <n v="0"/>
    <n v="0"/>
    <n v="0"/>
    <n v="0"/>
    <n v="0"/>
    <n v="0"/>
    <n v="0"/>
    <n v="0"/>
    <x v="0"/>
  </r>
  <r>
    <x v="0"/>
    <x v="3"/>
    <s v="Health facilities (service delivery points)"/>
    <s v="Central"/>
    <n v="0"/>
    <n v="1053282.7118644069"/>
    <n v="0"/>
    <n v="0"/>
    <n v="1053282.7118644069"/>
    <n v="0"/>
    <n v="0"/>
    <n v="1053282.7118644069"/>
    <n v="0"/>
    <n v="0"/>
    <n v="3159848.1355932206"/>
    <n v="0"/>
    <n v="1053282.7118644069"/>
    <n v="0"/>
    <n v="0"/>
    <n v="1053282.7118644069"/>
    <n v="0"/>
    <n v="0"/>
    <n v="1053282.7118644069"/>
    <n v="0"/>
    <n v="0"/>
    <x v="0"/>
  </r>
  <r>
    <x v="0"/>
    <x v="3"/>
    <s v="Health facilities (service delivery points)"/>
    <s v="Copperbelt"/>
    <n v="0"/>
    <n v="1258087.6836158193"/>
    <n v="0"/>
    <n v="0"/>
    <n v="1258087.6836158193"/>
    <n v="0"/>
    <n v="0"/>
    <n v="1258087.6836158193"/>
    <n v="0"/>
    <n v="0"/>
    <n v="3774263.0508474577"/>
    <n v="0"/>
    <n v="1258087.6836158193"/>
    <n v="0"/>
    <n v="0"/>
    <n v="1258087.6836158193"/>
    <n v="0"/>
    <n v="0"/>
    <n v="1258087.6836158193"/>
    <n v="0"/>
    <n v="0"/>
    <x v="0"/>
  </r>
  <r>
    <x v="0"/>
    <x v="3"/>
    <s v="Health facilities (service delivery points)"/>
    <s v="Eastern"/>
    <n v="0"/>
    <n v="1146907.8418079095"/>
    <n v="0"/>
    <n v="0"/>
    <n v="1146907.8418079095"/>
    <n v="0"/>
    <n v="0"/>
    <n v="1146907.8418079095"/>
    <n v="0"/>
    <n v="0"/>
    <n v="3440723.5254237289"/>
    <n v="0"/>
    <n v="1146907.8418079095"/>
    <n v="0"/>
    <n v="0"/>
    <n v="1146907.8418079095"/>
    <n v="0"/>
    <n v="0"/>
    <n v="1146907.8418079095"/>
    <n v="0"/>
    <n v="0"/>
    <x v="0"/>
  </r>
  <r>
    <x v="0"/>
    <x v="3"/>
    <s v="Health facilities (service delivery points)"/>
    <s v="Luapula"/>
    <n v="0"/>
    <n v="795813.60451977409"/>
    <n v="0"/>
    <n v="0"/>
    <n v="795813.60451977409"/>
    <n v="0"/>
    <n v="0"/>
    <n v="795813.60451977409"/>
    <n v="0"/>
    <n v="0"/>
    <n v="2387440.8135593222"/>
    <n v="0"/>
    <n v="795813.60451977409"/>
    <n v="0"/>
    <n v="0"/>
    <n v="795813.60451977409"/>
    <n v="0"/>
    <n v="0"/>
    <n v="795813.60451977409"/>
    <n v="0"/>
    <n v="0"/>
    <x v="0"/>
  </r>
  <r>
    <x v="0"/>
    <x v="3"/>
    <s v="Health facilities (service delivery points)"/>
    <s v="Lusaka"/>
    <n v="0"/>
    <n v="1527259.9322033899"/>
    <n v="0"/>
    <n v="0"/>
    <n v="1527259.9322033899"/>
    <n v="0"/>
    <n v="0"/>
    <n v="1527259.9322033899"/>
    <n v="0"/>
    <n v="0"/>
    <n v="4581779.79661017"/>
    <n v="0"/>
    <n v="1527259.9322033899"/>
    <n v="0"/>
    <n v="0"/>
    <n v="1527259.9322033899"/>
    <n v="0"/>
    <n v="0"/>
    <n v="1527259.9322033899"/>
    <n v="0"/>
    <n v="0"/>
    <x v="0"/>
  </r>
  <r>
    <x v="0"/>
    <x v="3"/>
    <s v="Health facilities (service delivery points)"/>
    <s v="Muchinga"/>
    <n v="0"/>
    <n v="550047.63841807912"/>
    <n v="0"/>
    <n v="0"/>
    <n v="550047.63841807912"/>
    <n v="0"/>
    <n v="0"/>
    <n v="550047.63841807912"/>
    <n v="0"/>
    <n v="0"/>
    <n v="1650142.9152542374"/>
    <n v="0"/>
    <n v="550047.63841807912"/>
    <n v="0"/>
    <n v="0"/>
    <n v="550047.63841807912"/>
    <n v="0"/>
    <n v="0"/>
    <n v="550047.63841807912"/>
    <n v="0"/>
    <n v="0"/>
    <x v="0"/>
  </r>
  <r>
    <x v="0"/>
    <x v="3"/>
    <s v="Health facilities (service delivery points)"/>
    <s v="Northern"/>
    <n v="0"/>
    <n v="789962.03389830515"/>
    <n v="0"/>
    <n v="0"/>
    <n v="789962.03389830515"/>
    <n v="0"/>
    <n v="0"/>
    <n v="789962.03389830515"/>
    <n v="0"/>
    <n v="0"/>
    <n v="2369886.1016949154"/>
    <n v="0"/>
    <n v="789962.03389830515"/>
    <n v="0"/>
    <n v="0"/>
    <n v="789962.03389830515"/>
    <n v="0"/>
    <n v="0"/>
    <n v="789962.03389830515"/>
    <n v="0"/>
    <n v="0"/>
    <x v="0"/>
  </r>
  <r>
    <x v="0"/>
    <x v="3"/>
    <s v="Health facilities (service delivery points)"/>
    <s v="North Western"/>
    <n v="0"/>
    <n v="906993.44632768363"/>
    <n v="0"/>
    <n v="0"/>
    <n v="906993.44632768363"/>
    <n v="0"/>
    <n v="0"/>
    <n v="906993.44632768363"/>
    <n v="0"/>
    <n v="0"/>
    <n v="2720980.338983051"/>
    <n v="0"/>
    <n v="906993.44632768363"/>
    <n v="0"/>
    <n v="0"/>
    <n v="906993.44632768363"/>
    <n v="0"/>
    <n v="0"/>
    <n v="906993.44632768363"/>
    <n v="0"/>
    <n v="0"/>
    <x v="0"/>
  </r>
  <r>
    <x v="0"/>
    <x v="3"/>
    <s v="Health facilities (service delivery points)"/>
    <s v="Southern"/>
    <n v="0"/>
    <n v="1392673.8079096044"/>
    <n v="0"/>
    <n v="0"/>
    <n v="1392673.8079096044"/>
    <n v="0"/>
    <n v="0"/>
    <n v="1392673.8079096044"/>
    <n v="0"/>
    <n v="0"/>
    <n v="4178021.4237288134"/>
    <n v="0"/>
    <n v="1392673.8079096044"/>
    <n v="0"/>
    <n v="0"/>
    <n v="1392673.8079096044"/>
    <n v="0"/>
    <n v="0"/>
    <n v="1392673.8079096044"/>
    <n v="0"/>
    <n v="0"/>
    <x v="0"/>
  </r>
  <r>
    <x v="0"/>
    <x v="3"/>
    <s v="Health facilities (service delivery points)"/>
    <s v="Western"/>
    <n v="0"/>
    <n v="936251.29943502822"/>
    <n v="0"/>
    <n v="0"/>
    <n v="936251.29943502822"/>
    <n v="0"/>
    <n v="0"/>
    <n v="936251.29943502822"/>
    <n v="0"/>
    <n v="0"/>
    <n v="2808753.8983050846"/>
    <n v="0"/>
    <n v="936251.29943502822"/>
    <n v="0"/>
    <n v="0"/>
    <n v="936251.29943502822"/>
    <n v="0"/>
    <n v="0"/>
    <n v="936251.29943502822"/>
    <n v="0"/>
    <n v="0"/>
    <x v="0"/>
  </r>
  <r>
    <x v="0"/>
    <x v="3"/>
    <s v="Health facilities (service delivery points)"/>
    <n v="0"/>
    <n v="0"/>
    <n v="0"/>
    <n v="0"/>
    <n v="0"/>
    <n v="0"/>
    <n v="0"/>
    <n v="0"/>
    <n v="0"/>
    <n v="0"/>
    <n v="0"/>
    <n v="0"/>
    <n v="0"/>
    <n v="0"/>
    <n v="0"/>
    <n v="0"/>
    <n v="0"/>
    <n v="0"/>
    <n v="0"/>
    <n v="0"/>
    <n v="0"/>
    <n v="0"/>
    <x v="0"/>
  </r>
  <r>
    <x v="0"/>
    <x v="3"/>
    <s v="Health facilities (service delivery points)"/>
    <n v="0"/>
    <n v="0"/>
    <n v="0"/>
    <n v="0"/>
    <n v="0"/>
    <n v="0"/>
    <n v="0"/>
    <n v="0"/>
    <n v="0"/>
    <n v="0"/>
    <n v="0"/>
    <n v="0"/>
    <n v="0"/>
    <n v="0"/>
    <n v="0"/>
    <n v="0"/>
    <n v="0"/>
    <n v="0"/>
    <n v="0"/>
    <n v="0"/>
    <n v="0"/>
    <n v="0"/>
    <x v="0"/>
  </r>
  <r>
    <x v="0"/>
    <x v="3"/>
    <s v="Health facilities (service delivery points)"/>
    <n v="0"/>
    <n v="0"/>
    <n v="0"/>
    <n v="0"/>
    <n v="0"/>
    <n v="0"/>
    <n v="0"/>
    <n v="0"/>
    <n v="0"/>
    <n v="0"/>
    <n v="0"/>
    <n v="0"/>
    <n v="0"/>
    <n v="0"/>
    <n v="0"/>
    <n v="0"/>
    <n v="0"/>
    <n v="0"/>
    <n v="0"/>
    <n v="0"/>
    <n v="0"/>
    <n v="0"/>
    <x v="0"/>
  </r>
  <r>
    <x v="0"/>
    <x v="3"/>
    <s v="Health facilities (service delivery points)"/>
    <n v="0"/>
    <n v="0"/>
    <n v="0"/>
    <n v="0"/>
    <n v="0"/>
    <n v="0"/>
    <n v="0"/>
    <n v="0"/>
    <n v="0"/>
    <n v="0"/>
    <n v="0"/>
    <n v="0"/>
    <n v="0"/>
    <n v="0"/>
    <n v="0"/>
    <n v="0"/>
    <n v="0"/>
    <n v="0"/>
    <n v="0"/>
    <n v="0"/>
    <n v="0"/>
    <n v="0"/>
    <x v="0"/>
  </r>
  <r>
    <x v="0"/>
    <x v="3"/>
    <s v="Health facilities (service delivery points)"/>
    <n v="0"/>
    <n v="0"/>
    <n v="0"/>
    <n v="0"/>
    <n v="0"/>
    <n v="0"/>
    <n v="0"/>
    <n v="0"/>
    <n v="0"/>
    <n v="0"/>
    <n v="0"/>
    <n v="0"/>
    <n v="0"/>
    <n v="0"/>
    <n v="0"/>
    <n v="0"/>
    <n v="0"/>
    <n v="0"/>
    <n v="0"/>
    <n v="0"/>
    <n v="0"/>
    <n v="0"/>
    <x v="0"/>
  </r>
  <r>
    <x v="0"/>
    <x v="3"/>
    <s v="Health facilities (service delivery points)"/>
    <s v="National-level"/>
    <n v="0"/>
    <n v="0"/>
    <n v="0"/>
    <n v="0"/>
    <n v="0"/>
    <n v="0"/>
    <n v="0"/>
    <n v="0"/>
    <n v="0"/>
    <n v="0"/>
    <n v="0"/>
    <n v="0"/>
    <n v="0"/>
    <n v="0"/>
    <n v="0"/>
    <n v="0"/>
    <n v="0"/>
    <n v="0"/>
    <n v="0"/>
    <n v="0"/>
    <n v="0"/>
    <x v="0"/>
  </r>
  <r>
    <x v="0"/>
    <x v="4"/>
    <s v="Central level"/>
    <s v="Central"/>
    <n v="0"/>
    <n v="0"/>
    <n v="0"/>
    <n v="0"/>
    <n v="0"/>
    <n v="0"/>
    <n v="0"/>
    <n v="0"/>
    <n v="0"/>
    <n v="0"/>
    <n v="0"/>
    <n v="0"/>
    <n v="0"/>
    <n v="0"/>
    <n v="0"/>
    <n v="0"/>
    <n v="0"/>
    <n v="0"/>
    <n v="0"/>
    <n v="0"/>
    <n v="0"/>
    <x v="0"/>
  </r>
  <r>
    <x v="0"/>
    <x v="4"/>
    <s v="Central level"/>
    <s v="Copperbelt"/>
    <n v="0"/>
    <n v="0"/>
    <n v="0"/>
    <n v="0"/>
    <n v="0"/>
    <n v="0"/>
    <n v="0"/>
    <n v="0"/>
    <n v="0"/>
    <n v="0"/>
    <n v="0"/>
    <n v="0"/>
    <n v="0"/>
    <n v="0"/>
    <n v="0"/>
    <n v="0"/>
    <n v="0"/>
    <n v="0"/>
    <n v="0"/>
    <n v="0"/>
    <n v="0"/>
    <x v="0"/>
  </r>
  <r>
    <x v="0"/>
    <x v="4"/>
    <s v="Central level"/>
    <s v="Eastern"/>
    <n v="0"/>
    <n v="0"/>
    <n v="0"/>
    <n v="0"/>
    <n v="0"/>
    <n v="0"/>
    <n v="0"/>
    <n v="0"/>
    <n v="0"/>
    <n v="0"/>
    <n v="0"/>
    <n v="0"/>
    <n v="0"/>
    <n v="0"/>
    <n v="0"/>
    <n v="0"/>
    <n v="0"/>
    <n v="0"/>
    <n v="0"/>
    <n v="0"/>
    <n v="0"/>
    <x v="0"/>
  </r>
  <r>
    <x v="0"/>
    <x v="4"/>
    <s v="Central level"/>
    <s v="Luapula"/>
    <n v="0"/>
    <n v="0"/>
    <n v="0"/>
    <n v="0"/>
    <n v="0"/>
    <n v="0"/>
    <n v="0"/>
    <n v="0"/>
    <n v="0"/>
    <n v="0"/>
    <n v="0"/>
    <n v="0"/>
    <n v="0"/>
    <n v="0"/>
    <n v="0"/>
    <n v="0"/>
    <n v="0"/>
    <n v="0"/>
    <n v="0"/>
    <n v="0"/>
    <n v="0"/>
    <x v="0"/>
  </r>
  <r>
    <x v="0"/>
    <x v="4"/>
    <s v="Central level"/>
    <s v="Lusaka"/>
    <n v="0"/>
    <n v="0"/>
    <n v="0"/>
    <n v="0"/>
    <n v="0"/>
    <n v="0"/>
    <n v="0"/>
    <n v="0"/>
    <n v="0"/>
    <n v="0"/>
    <n v="0"/>
    <n v="0"/>
    <n v="0"/>
    <n v="0"/>
    <n v="0"/>
    <n v="0"/>
    <n v="0"/>
    <n v="0"/>
    <n v="0"/>
    <n v="0"/>
    <n v="0"/>
    <x v="0"/>
  </r>
  <r>
    <x v="0"/>
    <x v="4"/>
    <s v="Central level"/>
    <s v="Muchinga"/>
    <n v="0"/>
    <n v="0"/>
    <n v="0"/>
    <n v="0"/>
    <n v="0"/>
    <n v="0"/>
    <n v="0"/>
    <n v="0"/>
    <n v="0"/>
    <n v="0"/>
    <n v="0"/>
    <n v="0"/>
    <n v="0"/>
    <n v="0"/>
    <n v="0"/>
    <n v="0"/>
    <n v="0"/>
    <n v="0"/>
    <n v="0"/>
    <n v="0"/>
    <n v="0"/>
    <x v="0"/>
  </r>
  <r>
    <x v="0"/>
    <x v="4"/>
    <s v="Central level"/>
    <s v="Northern"/>
    <n v="0"/>
    <n v="0"/>
    <n v="0"/>
    <n v="0"/>
    <n v="0"/>
    <n v="0"/>
    <n v="0"/>
    <n v="0"/>
    <n v="0"/>
    <n v="0"/>
    <n v="0"/>
    <n v="0"/>
    <n v="0"/>
    <n v="0"/>
    <n v="0"/>
    <n v="0"/>
    <n v="0"/>
    <n v="0"/>
    <n v="0"/>
    <n v="0"/>
    <n v="0"/>
    <x v="0"/>
  </r>
  <r>
    <x v="0"/>
    <x v="4"/>
    <s v="Central level"/>
    <s v="North Western"/>
    <n v="0"/>
    <n v="0"/>
    <n v="0"/>
    <n v="0"/>
    <n v="0"/>
    <n v="0"/>
    <n v="0"/>
    <n v="0"/>
    <n v="0"/>
    <n v="0"/>
    <n v="0"/>
    <n v="0"/>
    <n v="0"/>
    <n v="0"/>
    <n v="0"/>
    <n v="0"/>
    <n v="0"/>
    <n v="0"/>
    <n v="0"/>
    <n v="0"/>
    <n v="0"/>
    <x v="0"/>
  </r>
  <r>
    <x v="0"/>
    <x v="4"/>
    <s v="Central level"/>
    <s v="Southern"/>
    <n v="0"/>
    <n v="0"/>
    <n v="0"/>
    <n v="0"/>
    <n v="0"/>
    <n v="0"/>
    <n v="0"/>
    <n v="0"/>
    <n v="0"/>
    <n v="0"/>
    <n v="0"/>
    <n v="0"/>
    <n v="0"/>
    <n v="0"/>
    <n v="0"/>
    <n v="0"/>
    <n v="0"/>
    <n v="0"/>
    <n v="0"/>
    <n v="0"/>
    <n v="0"/>
    <x v="0"/>
  </r>
  <r>
    <x v="0"/>
    <x v="4"/>
    <s v="Central level"/>
    <s v="Western"/>
    <n v="0"/>
    <n v="0"/>
    <n v="0"/>
    <n v="0"/>
    <n v="0"/>
    <n v="0"/>
    <n v="0"/>
    <n v="0"/>
    <n v="0"/>
    <n v="0"/>
    <n v="0"/>
    <n v="0"/>
    <n v="0"/>
    <n v="0"/>
    <n v="0"/>
    <n v="0"/>
    <n v="0"/>
    <n v="0"/>
    <n v="0"/>
    <n v="0"/>
    <n v="0"/>
    <x v="0"/>
  </r>
  <r>
    <x v="0"/>
    <x v="4"/>
    <s v="Central level"/>
    <n v="0"/>
    <n v="0"/>
    <n v="0"/>
    <n v="0"/>
    <n v="0"/>
    <n v="0"/>
    <n v="0"/>
    <n v="0"/>
    <n v="0"/>
    <n v="0"/>
    <n v="0"/>
    <n v="0"/>
    <n v="0"/>
    <n v="0"/>
    <n v="0"/>
    <n v="0"/>
    <n v="0"/>
    <n v="0"/>
    <n v="0"/>
    <n v="0"/>
    <n v="0"/>
    <n v="0"/>
    <x v="0"/>
  </r>
  <r>
    <x v="0"/>
    <x v="4"/>
    <s v="Central level"/>
    <n v="0"/>
    <n v="0"/>
    <n v="0"/>
    <n v="0"/>
    <n v="0"/>
    <n v="0"/>
    <n v="0"/>
    <n v="0"/>
    <n v="0"/>
    <n v="0"/>
    <n v="0"/>
    <n v="0"/>
    <n v="0"/>
    <n v="0"/>
    <n v="0"/>
    <n v="0"/>
    <n v="0"/>
    <n v="0"/>
    <n v="0"/>
    <n v="0"/>
    <n v="0"/>
    <n v="0"/>
    <x v="0"/>
  </r>
  <r>
    <x v="0"/>
    <x v="4"/>
    <s v="Central level"/>
    <n v="0"/>
    <n v="0"/>
    <n v="0"/>
    <n v="0"/>
    <n v="0"/>
    <n v="0"/>
    <n v="0"/>
    <n v="0"/>
    <n v="0"/>
    <n v="0"/>
    <n v="0"/>
    <n v="0"/>
    <n v="0"/>
    <n v="0"/>
    <n v="0"/>
    <n v="0"/>
    <n v="0"/>
    <n v="0"/>
    <n v="0"/>
    <n v="0"/>
    <n v="0"/>
    <n v="0"/>
    <x v="0"/>
  </r>
  <r>
    <x v="0"/>
    <x v="4"/>
    <s v="Central level"/>
    <n v="0"/>
    <n v="0"/>
    <n v="0"/>
    <n v="0"/>
    <n v="0"/>
    <n v="0"/>
    <n v="0"/>
    <n v="0"/>
    <n v="0"/>
    <n v="0"/>
    <n v="0"/>
    <n v="0"/>
    <n v="0"/>
    <n v="0"/>
    <n v="0"/>
    <n v="0"/>
    <n v="0"/>
    <n v="0"/>
    <n v="0"/>
    <n v="0"/>
    <n v="0"/>
    <n v="0"/>
    <x v="0"/>
  </r>
  <r>
    <x v="0"/>
    <x v="4"/>
    <s v="Central level"/>
    <n v="0"/>
    <n v="0"/>
    <n v="0"/>
    <n v="0"/>
    <n v="0"/>
    <n v="0"/>
    <n v="0"/>
    <n v="0"/>
    <n v="0"/>
    <n v="0"/>
    <n v="0"/>
    <n v="0"/>
    <n v="0"/>
    <n v="0"/>
    <n v="0"/>
    <n v="0"/>
    <n v="0"/>
    <n v="0"/>
    <n v="0"/>
    <n v="0"/>
    <n v="0"/>
    <n v="0"/>
    <x v="0"/>
  </r>
  <r>
    <x v="0"/>
    <x v="4"/>
    <s v="Central level"/>
    <s v="National-level"/>
    <n v="0"/>
    <n v="22602.576000000001"/>
    <n v="22602.576000000001"/>
    <n v="22602.576000000001"/>
    <n v="22602.576000000001"/>
    <n v="22602.576000000001"/>
    <n v="22602.576000000001"/>
    <n v="22602.576000000001"/>
    <n v="0"/>
    <n v="0"/>
    <n v="158218.03200000001"/>
    <n v="0"/>
    <n v="22602.576000000001"/>
    <n v="22602.576000000001"/>
    <n v="22602.576000000001"/>
    <n v="22602.576000000001"/>
    <n v="22602.576000000001"/>
    <n v="22602.576000000001"/>
    <n v="22602.576000000001"/>
    <n v="0"/>
    <n v="0"/>
    <x v="0"/>
  </r>
  <r>
    <x v="0"/>
    <x v="5"/>
    <s v="Central level"/>
    <s v="Central"/>
    <n v="0"/>
    <n v="0"/>
    <n v="0"/>
    <n v="0"/>
    <n v="0"/>
    <n v="0"/>
    <n v="0"/>
    <n v="0"/>
    <n v="0"/>
    <n v="0"/>
    <n v="0"/>
    <n v="0"/>
    <n v="0"/>
    <n v="0"/>
    <n v="0"/>
    <n v="0"/>
    <n v="0"/>
    <n v="0"/>
    <n v="0"/>
    <n v="0"/>
    <n v="0"/>
    <x v="1"/>
  </r>
  <r>
    <x v="0"/>
    <x v="5"/>
    <s v="Central level"/>
    <s v="Copperbelt"/>
    <n v="0"/>
    <n v="0"/>
    <n v="0"/>
    <n v="0"/>
    <n v="0"/>
    <n v="0"/>
    <n v="0"/>
    <n v="0"/>
    <n v="0"/>
    <n v="0"/>
    <n v="0"/>
    <n v="0"/>
    <n v="0"/>
    <n v="0"/>
    <n v="0"/>
    <n v="0"/>
    <n v="0"/>
    <n v="0"/>
    <n v="0"/>
    <n v="0"/>
    <n v="0"/>
    <x v="1"/>
  </r>
  <r>
    <x v="0"/>
    <x v="5"/>
    <s v="Central level"/>
    <s v="Eastern"/>
    <n v="0"/>
    <n v="0"/>
    <n v="0"/>
    <n v="0"/>
    <n v="0"/>
    <n v="0"/>
    <n v="0"/>
    <n v="0"/>
    <n v="0"/>
    <n v="0"/>
    <n v="0"/>
    <n v="0"/>
    <n v="0"/>
    <n v="0"/>
    <n v="0"/>
    <n v="0"/>
    <n v="0"/>
    <n v="0"/>
    <n v="0"/>
    <n v="0"/>
    <n v="0"/>
    <x v="1"/>
  </r>
  <r>
    <x v="0"/>
    <x v="5"/>
    <s v="Central level"/>
    <s v="Luapula"/>
    <n v="0"/>
    <n v="0"/>
    <n v="0"/>
    <n v="0"/>
    <n v="0"/>
    <n v="0"/>
    <n v="0"/>
    <n v="0"/>
    <n v="0"/>
    <n v="0"/>
    <n v="0"/>
    <n v="0"/>
    <n v="0"/>
    <n v="0"/>
    <n v="0"/>
    <n v="0"/>
    <n v="0"/>
    <n v="0"/>
    <n v="0"/>
    <n v="0"/>
    <n v="0"/>
    <x v="1"/>
  </r>
  <r>
    <x v="0"/>
    <x v="5"/>
    <s v="Central level"/>
    <s v="Lusaka"/>
    <n v="0"/>
    <n v="0"/>
    <n v="0"/>
    <n v="0"/>
    <n v="0"/>
    <n v="0"/>
    <n v="0"/>
    <n v="0"/>
    <n v="0"/>
    <n v="0"/>
    <n v="0"/>
    <n v="0"/>
    <n v="0"/>
    <n v="0"/>
    <n v="0"/>
    <n v="0"/>
    <n v="0"/>
    <n v="0"/>
    <n v="0"/>
    <n v="0"/>
    <n v="0"/>
    <x v="1"/>
  </r>
  <r>
    <x v="0"/>
    <x v="5"/>
    <s v="Central level"/>
    <s v="Muchinga"/>
    <n v="0"/>
    <n v="0"/>
    <n v="0"/>
    <n v="0"/>
    <n v="0"/>
    <n v="0"/>
    <n v="0"/>
    <n v="0"/>
    <n v="0"/>
    <n v="0"/>
    <n v="0"/>
    <n v="0"/>
    <n v="0"/>
    <n v="0"/>
    <n v="0"/>
    <n v="0"/>
    <n v="0"/>
    <n v="0"/>
    <n v="0"/>
    <n v="0"/>
    <n v="0"/>
    <x v="1"/>
  </r>
  <r>
    <x v="0"/>
    <x v="5"/>
    <s v="Central level"/>
    <s v="Northern"/>
    <n v="0"/>
    <n v="0"/>
    <n v="0"/>
    <n v="0"/>
    <n v="0"/>
    <n v="0"/>
    <n v="0"/>
    <n v="0"/>
    <n v="0"/>
    <n v="0"/>
    <n v="0"/>
    <n v="0"/>
    <n v="0"/>
    <n v="0"/>
    <n v="0"/>
    <n v="0"/>
    <n v="0"/>
    <n v="0"/>
    <n v="0"/>
    <n v="0"/>
    <n v="0"/>
    <x v="1"/>
  </r>
  <r>
    <x v="0"/>
    <x v="5"/>
    <s v="Central level"/>
    <s v="North Western"/>
    <n v="0"/>
    <n v="0"/>
    <n v="0"/>
    <n v="0"/>
    <n v="0"/>
    <n v="0"/>
    <n v="0"/>
    <n v="0"/>
    <n v="0"/>
    <n v="0"/>
    <n v="0"/>
    <n v="0"/>
    <n v="0"/>
    <n v="0"/>
    <n v="0"/>
    <n v="0"/>
    <n v="0"/>
    <n v="0"/>
    <n v="0"/>
    <n v="0"/>
    <n v="0"/>
    <x v="1"/>
  </r>
  <r>
    <x v="0"/>
    <x v="5"/>
    <s v="Central level"/>
    <s v="Southern"/>
    <n v="0"/>
    <n v="0"/>
    <n v="0"/>
    <n v="0"/>
    <n v="0"/>
    <n v="0"/>
    <n v="0"/>
    <n v="0"/>
    <n v="0"/>
    <n v="0"/>
    <n v="0"/>
    <n v="0"/>
    <n v="0"/>
    <n v="0"/>
    <n v="0"/>
    <n v="0"/>
    <n v="0"/>
    <n v="0"/>
    <n v="0"/>
    <n v="0"/>
    <n v="0"/>
    <x v="1"/>
  </r>
  <r>
    <x v="0"/>
    <x v="5"/>
    <s v="Central level"/>
    <s v="Western"/>
    <n v="0"/>
    <n v="0"/>
    <n v="0"/>
    <n v="0"/>
    <n v="0"/>
    <n v="0"/>
    <n v="0"/>
    <n v="0"/>
    <n v="0"/>
    <n v="0"/>
    <n v="0"/>
    <n v="0"/>
    <n v="0"/>
    <n v="0"/>
    <n v="0"/>
    <n v="0"/>
    <n v="0"/>
    <n v="0"/>
    <n v="0"/>
    <n v="0"/>
    <n v="0"/>
    <x v="1"/>
  </r>
  <r>
    <x v="0"/>
    <x v="5"/>
    <s v="Central level"/>
    <n v="0"/>
    <n v="0"/>
    <n v="0"/>
    <n v="0"/>
    <n v="0"/>
    <n v="0"/>
    <n v="0"/>
    <n v="0"/>
    <n v="0"/>
    <n v="0"/>
    <n v="0"/>
    <n v="0"/>
    <n v="0"/>
    <n v="0"/>
    <n v="0"/>
    <n v="0"/>
    <n v="0"/>
    <n v="0"/>
    <n v="0"/>
    <n v="0"/>
    <n v="0"/>
    <n v="0"/>
    <x v="1"/>
  </r>
  <r>
    <x v="0"/>
    <x v="5"/>
    <s v="Central level"/>
    <n v="0"/>
    <n v="0"/>
    <n v="0"/>
    <n v="0"/>
    <n v="0"/>
    <n v="0"/>
    <n v="0"/>
    <n v="0"/>
    <n v="0"/>
    <n v="0"/>
    <n v="0"/>
    <n v="0"/>
    <n v="0"/>
    <n v="0"/>
    <n v="0"/>
    <n v="0"/>
    <n v="0"/>
    <n v="0"/>
    <n v="0"/>
    <n v="0"/>
    <n v="0"/>
    <n v="0"/>
    <x v="1"/>
  </r>
  <r>
    <x v="0"/>
    <x v="5"/>
    <s v="Central level"/>
    <n v="0"/>
    <n v="0"/>
    <n v="0"/>
    <n v="0"/>
    <n v="0"/>
    <n v="0"/>
    <n v="0"/>
    <n v="0"/>
    <n v="0"/>
    <n v="0"/>
    <n v="0"/>
    <n v="0"/>
    <n v="0"/>
    <n v="0"/>
    <n v="0"/>
    <n v="0"/>
    <n v="0"/>
    <n v="0"/>
    <n v="0"/>
    <n v="0"/>
    <n v="0"/>
    <n v="0"/>
    <x v="1"/>
  </r>
  <r>
    <x v="0"/>
    <x v="5"/>
    <s v="Central level"/>
    <n v="0"/>
    <n v="0"/>
    <n v="0"/>
    <n v="0"/>
    <n v="0"/>
    <n v="0"/>
    <n v="0"/>
    <n v="0"/>
    <n v="0"/>
    <n v="0"/>
    <n v="0"/>
    <n v="0"/>
    <n v="0"/>
    <n v="0"/>
    <n v="0"/>
    <n v="0"/>
    <n v="0"/>
    <n v="0"/>
    <n v="0"/>
    <n v="0"/>
    <n v="0"/>
    <n v="0"/>
    <x v="1"/>
  </r>
  <r>
    <x v="0"/>
    <x v="5"/>
    <s v="Central level"/>
    <n v="0"/>
    <n v="0"/>
    <n v="0"/>
    <n v="0"/>
    <n v="0"/>
    <n v="0"/>
    <n v="0"/>
    <n v="0"/>
    <n v="0"/>
    <n v="0"/>
    <n v="0"/>
    <n v="0"/>
    <n v="0"/>
    <n v="0"/>
    <n v="0"/>
    <n v="0"/>
    <n v="0"/>
    <n v="0"/>
    <n v="0"/>
    <n v="0"/>
    <n v="0"/>
    <n v="0"/>
    <x v="1"/>
  </r>
  <r>
    <x v="0"/>
    <x v="5"/>
    <s v="Central level"/>
    <s v="National-level"/>
    <n v="0"/>
    <n v="0"/>
    <n v="0"/>
    <n v="0"/>
    <n v="0"/>
    <n v="0"/>
    <n v="0"/>
    <n v="0"/>
    <n v="0"/>
    <n v="0"/>
    <n v="0"/>
    <n v="0"/>
    <n v="0"/>
    <n v="0"/>
    <n v="0"/>
    <n v="0"/>
    <n v="0"/>
    <n v="0"/>
    <n v="0"/>
    <n v="0"/>
    <n v="0"/>
    <x v="1"/>
  </r>
  <r>
    <x v="0"/>
    <x v="6"/>
    <s v="Central level"/>
    <s v="Central"/>
    <n v="0"/>
    <n v="0"/>
    <n v="0"/>
    <n v="0"/>
    <n v="0"/>
    <n v="0"/>
    <n v="0"/>
    <n v="0"/>
    <n v="0"/>
    <n v="0"/>
    <n v="0"/>
    <n v="0"/>
    <n v="0"/>
    <n v="0"/>
    <n v="0"/>
    <n v="0"/>
    <n v="0"/>
    <n v="0"/>
    <n v="0"/>
    <n v="0"/>
    <n v="0"/>
    <x v="0"/>
  </r>
  <r>
    <x v="0"/>
    <x v="6"/>
    <s v="Central level"/>
    <s v="Copperbelt"/>
    <n v="0"/>
    <n v="0"/>
    <n v="0"/>
    <n v="0"/>
    <n v="0"/>
    <n v="0"/>
    <n v="0"/>
    <n v="0"/>
    <n v="0"/>
    <n v="0"/>
    <n v="0"/>
    <n v="0"/>
    <n v="0"/>
    <n v="0"/>
    <n v="0"/>
    <n v="0"/>
    <n v="0"/>
    <n v="0"/>
    <n v="0"/>
    <n v="0"/>
    <n v="0"/>
    <x v="0"/>
  </r>
  <r>
    <x v="0"/>
    <x v="6"/>
    <s v="Central level"/>
    <s v="Eastern"/>
    <n v="0"/>
    <n v="0"/>
    <n v="0"/>
    <n v="0"/>
    <n v="0"/>
    <n v="0"/>
    <n v="0"/>
    <n v="0"/>
    <n v="0"/>
    <n v="0"/>
    <n v="0"/>
    <n v="0"/>
    <n v="0"/>
    <n v="0"/>
    <n v="0"/>
    <n v="0"/>
    <n v="0"/>
    <n v="0"/>
    <n v="0"/>
    <n v="0"/>
    <n v="0"/>
    <x v="0"/>
  </r>
  <r>
    <x v="0"/>
    <x v="6"/>
    <s v="Central level"/>
    <s v="Luapula"/>
    <n v="0"/>
    <n v="0"/>
    <n v="0"/>
    <n v="0"/>
    <n v="0"/>
    <n v="0"/>
    <n v="0"/>
    <n v="0"/>
    <n v="0"/>
    <n v="0"/>
    <n v="0"/>
    <n v="0"/>
    <n v="0"/>
    <n v="0"/>
    <n v="0"/>
    <n v="0"/>
    <n v="0"/>
    <n v="0"/>
    <n v="0"/>
    <n v="0"/>
    <n v="0"/>
    <x v="0"/>
  </r>
  <r>
    <x v="0"/>
    <x v="6"/>
    <s v="Central level"/>
    <s v="Lusaka"/>
    <n v="0"/>
    <n v="0"/>
    <n v="0"/>
    <n v="0"/>
    <n v="0"/>
    <n v="0"/>
    <n v="0"/>
    <n v="0"/>
    <n v="0"/>
    <n v="0"/>
    <n v="0"/>
    <n v="0"/>
    <n v="0"/>
    <n v="0"/>
    <n v="0"/>
    <n v="0"/>
    <n v="0"/>
    <n v="0"/>
    <n v="0"/>
    <n v="0"/>
    <n v="0"/>
    <x v="0"/>
  </r>
  <r>
    <x v="0"/>
    <x v="6"/>
    <s v="Central level"/>
    <s v="Muchinga"/>
    <n v="0"/>
    <n v="0"/>
    <n v="0"/>
    <n v="0"/>
    <n v="0"/>
    <n v="0"/>
    <n v="0"/>
    <n v="0"/>
    <n v="0"/>
    <n v="0"/>
    <n v="0"/>
    <n v="0"/>
    <n v="0"/>
    <n v="0"/>
    <n v="0"/>
    <n v="0"/>
    <n v="0"/>
    <n v="0"/>
    <n v="0"/>
    <n v="0"/>
    <n v="0"/>
    <x v="0"/>
  </r>
  <r>
    <x v="0"/>
    <x v="6"/>
    <s v="Central level"/>
    <s v="Northern"/>
    <n v="0"/>
    <n v="0"/>
    <n v="0"/>
    <n v="0"/>
    <n v="0"/>
    <n v="0"/>
    <n v="0"/>
    <n v="0"/>
    <n v="0"/>
    <n v="0"/>
    <n v="0"/>
    <n v="0"/>
    <n v="0"/>
    <n v="0"/>
    <n v="0"/>
    <n v="0"/>
    <n v="0"/>
    <n v="0"/>
    <n v="0"/>
    <n v="0"/>
    <n v="0"/>
    <x v="0"/>
  </r>
  <r>
    <x v="0"/>
    <x v="6"/>
    <s v="Central level"/>
    <s v="North Western"/>
    <n v="0"/>
    <n v="0"/>
    <n v="0"/>
    <n v="0"/>
    <n v="0"/>
    <n v="0"/>
    <n v="0"/>
    <n v="0"/>
    <n v="0"/>
    <n v="0"/>
    <n v="0"/>
    <n v="0"/>
    <n v="0"/>
    <n v="0"/>
    <n v="0"/>
    <n v="0"/>
    <n v="0"/>
    <n v="0"/>
    <n v="0"/>
    <n v="0"/>
    <n v="0"/>
    <x v="0"/>
  </r>
  <r>
    <x v="0"/>
    <x v="6"/>
    <s v="Central level"/>
    <s v="Southern"/>
    <n v="0"/>
    <n v="0"/>
    <n v="0"/>
    <n v="0"/>
    <n v="0"/>
    <n v="0"/>
    <n v="0"/>
    <n v="0"/>
    <n v="0"/>
    <n v="0"/>
    <n v="0"/>
    <n v="0"/>
    <n v="0"/>
    <n v="0"/>
    <n v="0"/>
    <n v="0"/>
    <n v="0"/>
    <n v="0"/>
    <n v="0"/>
    <n v="0"/>
    <n v="0"/>
    <x v="0"/>
  </r>
  <r>
    <x v="0"/>
    <x v="6"/>
    <s v="Central level"/>
    <s v="Western"/>
    <n v="0"/>
    <n v="0"/>
    <n v="0"/>
    <n v="0"/>
    <n v="0"/>
    <n v="0"/>
    <n v="0"/>
    <n v="0"/>
    <n v="0"/>
    <n v="0"/>
    <n v="0"/>
    <n v="0"/>
    <n v="0"/>
    <n v="0"/>
    <n v="0"/>
    <n v="0"/>
    <n v="0"/>
    <n v="0"/>
    <n v="0"/>
    <n v="0"/>
    <n v="0"/>
    <x v="0"/>
  </r>
  <r>
    <x v="0"/>
    <x v="6"/>
    <s v="Central level"/>
    <n v="0"/>
    <n v="0"/>
    <n v="0"/>
    <n v="0"/>
    <n v="0"/>
    <n v="0"/>
    <n v="0"/>
    <n v="0"/>
    <n v="0"/>
    <n v="0"/>
    <n v="0"/>
    <n v="0"/>
    <n v="0"/>
    <n v="0"/>
    <n v="0"/>
    <n v="0"/>
    <n v="0"/>
    <n v="0"/>
    <n v="0"/>
    <n v="0"/>
    <n v="0"/>
    <n v="0"/>
    <x v="0"/>
  </r>
  <r>
    <x v="0"/>
    <x v="6"/>
    <s v="Central level"/>
    <n v="0"/>
    <n v="0"/>
    <n v="0"/>
    <n v="0"/>
    <n v="0"/>
    <n v="0"/>
    <n v="0"/>
    <n v="0"/>
    <n v="0"/>
    <n v="0"/>
    <n v="0"/>
    <n v="0"/>
    <n v="0"/>
    <n v="0"/>
    <n v="0"/>
    <n v="0"/>
    <n v="0"/>
    <n v="0"/>
    <n v="0"/>
    <n v="0"/>
    <n v="0"/>
    <n v="0"/>
    <x v="0"/>
  </r>
  <r>
    <x v="0"/>
    <x v="6"/>
    <s v="Central level"/>
    <n v="0"/>
    <n v="0"/>
    <n v="0"/>
    <n v="0"/>
    <n v="0"/>
    <n v="0"/>
    <n v="0"/>
    <n v="0"/>
    <n v="0"/>
    <n v="0"/>
    <n v="0"/>
    <n v="0"/>
    <n v="0"/>
    <n v="0"/>
    <n v="0"/>
    <n v="0"/>
    <n v="0"/>
    <n v="0"/>
    <n v="0"/>
    <n v="0"/>
    <n v="0"/>
    <n v="0"/>
    <x v="0"/>
  </r>
  <r>
    <x v="0"/>
    <x v="6"/>
    <s v="Central level"/>
    <n v="0"/>
    <n v="0"/>
    <n v="0"/>
    <n v="0"/>
    <n v="0"/>
    <n v="0"/>
    <n v="0"/>
    <n v="0"/>
    <n v="0"/>
    <n v="0"/>
    <n v="0"/>
    <n v="0"/>
    <n v="0"/>
    <n v="0"/>
    <n v="0"/>
    <n v="0"/>
    <n v="0"/>
    <n v="0"/>
    <n v="0"/>
    <n v="0"/>
    <n v="0"/>
    <n v="0"/>
    <x v="0"/>
  </r>
  <r>
    <x v="0"/>
    <x v="6"/>
    <s v="Central level"/>
    <n v="0"/>
    <n v="0"/>
    <n v="0"/>
    <n v="0"/>
    <n v="0"/>
    <n v="0"/>
    <n v="0"/>
    <n v="0"/>
    <n v="0"/>
    <n v="0"/>
    <n v="0"/>
    <n v="0"/>
    <n v="0"/>
    <n v="0"/>
    <n v="0"/>
    <n v="0"/>
    <n v="0"/>
    <n v="0"/>
    <n v="0"/>
    <n v="0"/>
    <n v="0"/>
    <n v="0"/>
    <x v="0"/>
  </r>
  <r>
    <x v="0"/>
    <x v="6"/>
    <s v="Central level"/>
    <s v="National-level"/>
    <n v="2682600"/>
    <n v="2682600"/>
    <n v="2682600"/>
    <n v="2682600"/>
    <n v="2682600"/>
    <n v="2682600"/>
    <n v="2682600"/>
    <n v="2682600"/>
    <n v="0"/>
    <n v="0"/>
    <n v="21460800"/>
    <n v="2682600"/>
    <n v="2682600"/>
    <n v="2682600"/>
    <n v="2682600"/>
    <n v="2682600"/>
    <n v="2682600"/>
    <n v="2682600"/>
    <n v="2682600"/>
    <n v="0"/>
    <n v="0"/>
    <x v="0"/>
  </r>
  <r>
    <x v="0"/>
    <x v="7"/>
    <s v="Central level"/>
    <s v="Central"/>
    <n v="0"/>
    <n v="0"/>
    <n v="0"/>
    <n v="0"/>
    <n v="0"/>
    <n v="0"/>
    <n v="0"/>
    <n v="0"/>
    <n v="0"/>
    <n v="0"/>
    <n v="0"/>
    <n v="0"/>
    <n v="0"/>
    <n v="0"/>
    <n v="0"/>
    <n v="0"/>
    <n v="0"/>
    <n v="0"/>
    <n v="0"/>
    <n v="0"/>
    <n v="0"/>
    <x v="1"/>
  </r>
  <r>
    <x v="0"/>
    <x v="7"/>
    <s v="Central level"/>
    <s v="Copperbelt"/>
    <n v="0"/>
    <n v="0"/>
    <n v="0"/>
    <n v="0"/>
    <n v="0"/>
    <n v="0"/>
    <n v="0"/>
    <n v="0"/>
    <n v="0"/>
    <n v="0"/>
    <n v="0"/>
    <n v="0"/>
    <n v="0"/>
    <n v="0"/>
    <n v="0"/>
    <n v="0"/>
    <n v="0"/>
    <n v="0"/>
    <n v="0"/>
    <n v="0"/>
    <n v="0"/>
    <x v="1"/>
  </r>
  <r>
    <x v="0"/>
    <x v="7"/>
    <s v="Central level"/>
    <s v="Eastern"/>
    <n v="0"/>
    <n v="0"/>
    <n v="0"/>
    <n v="0"/>
    <n v="0"/>
    <n v="0"/>
    <n v="0"/>
    <n v="0"/>
    <n v="0"/>
    <n v="0"/>
    <n v="0"/>
    <n v="0"/>
    <n v="0"/>
    <n v="0"/>
    <n v="0"/>
    <n v="0"/>
    <n v="0"/>
    <n v="0"/>
    <n v="0"/>
    <n v="0"/>
    <n v="0"/>
    <x v="1"/>
  </r>
  <r>
    <x v="0"/>
    <x v="7"/>
    <s v="Central level"/>
    <s v="Luapula"/>
    <n v="0"/>
    <n v="0"/>
    <n v="0"/>
    <n v="0"/>
    <n v="0"/>
    <n v="0"/>
    <n v="0"/>
    <n v="0"/>
    <n v="0"/>
    <n v="0"/>
    <n v="0"/>
    <n v="0"/>
    <n v="0"/>
    <n v="0"/>
    <n v="0"/>
    <n v="0"/>
    <n v="0"/>
    <n v="0"/>
    <n v="0"/>
    <n v="0"/>
    <n v="0"/>
    <x v="1"/>
  </r>
  <r>
    <x v="0"/>
    <x v="7"/>
    <s v="Central level"/>
    <s v="Lusaka"/>
    <n v="0"/>
    <n v="0"/>
    <n v="0"/>
    <n v="0"/>
    <n v="0"/>
    <n v="0"/>
    <n v="0"/>
    <n v="0"/>
    <n v="0"/>
    <n v="0"/>
    <n v="0"/>
    <n v="0"/>
    <n v="0"/>
    <n v="0"/>
    <n v="0"/>
    <n v="0"/>
    <n v="0"/>
    <n v="0"/>
    <n v="0"/>
    <n v="0"/>
    <n v="0"/>
    <x v="1"/>
  </r>
  <r>
    <x v="0"/>
    <x v="7"/>
    <s v="Central level"/>
    <s v="Muchinga"/>
    <n v="0"/>
    <n v="0"/>
    <n v="0"/>
    <n v="0"/>
    <n v="0"/>
    <n v="0"/>
    <n v="0"/>
    <n v="0"/>
    <n v="0"/>
    <n v="0"/>
    <n v="0"/>
    <n v="0"/>
    <n v="0"/>
    <n v="0"/>
    <n v="0"/>
    <n v="0"/>
    <n v="0"/>
    <n v="0"/>
    <n v="0"/>
    <n v="0"/>
    <n v="0"/>
    <x v="1"/>
  </r>
  <r>
    <x v="0"/>
    <x v="7"/>
    <s v="Central level"/>
    <s v="Northern"/>
    <n v="0"/>
    <n v="0"/>
    <n v="0"/>
    <n v="0"/>
    <n v="0"/>
    <n v="0"/>
    <n v="0"/>
    <n v="0"/>
    <n v="0"/>
    <n v="0"/>
    <n v="0"/>
    <n v="0"/>
    <n v="0"/>
    <n v="0"/>
    <n v="0"/>
    <n v="0"/>
    <n v="0"/>
    <n v="0"/>
    <n v="0"/>
    <n v="0"/>
    <n v="0"/>
    <x v="1"/>
  </r>
  <r>
    <x v="0"/>
    <x v="7"/>
    <s v="Central level"/>
    <s v="North Western"/>
    <n v="0"/>
    <n v="0"/>
    <n v="0"/>
    <n v="0"/>
    <n v="0"/>
    <n v="0"/>
    <n v="0"/>
    <n v="0"/>
    <n v="0"/>
    <n v="0"/>
    <n v="0"/>
    <n v="0"/>
    <n v="0"/>
    <n v="0"/>
    <n v="0"/>
    <n v="0"/>
    <n v="0"/>
    <n v="0"/>
    <n v="0"/>
    <n v="0"/>
    <n v="0"/>
    <x v="1"/>
  </r>
  <r>
    <x v="0"/>
    <x v="7"/>
    <s v="Central level"/>
    <s v="Southern"/>
    <n v="0"/>
    <n v="0"/>
    <n v="0"/>
    <n v="0"/>
    <n v="0"/>
    <n v="0"/>
    <n v="0"/>
    <n v="0"/>
    <n v="0"/>
    <n v="0"/>
    <n v="0"/>
    <n v="0"/>
    <n v="0"/>
    <n v="0"/>
    <n v="0"/>
    <n v="0"/>
    <n v="0"/>
    <n v="0"/>
    <n v="0"/>
    <n v="0"/>
    <n v="0"/>
    <x v="1"/>
  </r>
  <r>
    <x v="0"/>
    <x v="7"/>
    <s v="Central level"/>
    <s v="Western"/>
    <n v="0"/>
    <n v="0"/>
    <n v="0"/>
    <n v="0"/>
    <n v="0"/>
    <n v="0"/>
    <n v="0"/>
    <n v="0"/>
    <n v="0"/>
    <n v="0"/>
    <n v="0"/>
    <n v="0"/>
    <n v="0"/>
    <n v="0"/>
    <n v="0"/>
    <n v="0"/>
    <n v="0"/>
    <n v="0"/>
    <n v="0"/>
    <n v="0"/>
    <n v="0"/>
    <x v="1"/>
  </r>
  <r>
    <x v="0"/>
    <x v="7"/>
    <s v="Central level"/>
    <n v="0"/>
    <n v="0"/>
    <n v="0"/>
    <n v="0"/>
    <n v="0"/>
    <n v="0"/>
    <n v="0"/>
    <n v="0"/>
    <n v="0"/>
    <n v="0"/>
    <n v="0"/>
    <n v="0"/>
    <n v="0"/>
    <n v="0"/>
    <n v="0"/>
    <n v="0"/>
    <n v="0"/>
    <n v="0"/>
    <n v="0"/>
    <n v="0"/>
    <n v="0"/>
    <n v="0"/>
    <x v="1"/>
  </r>
  <r>
    <x v="0"/>
    <x v="7"/>
    <s v="Central level"/>
    <n v="0"/>
    <n v="0"/>
    <n v="0"/>
    <n v="0"/>
    <n v="0"/>
    <n v="0"/>
    <n v="0"/>
    <n v="0"/>
    <n v="0"/>
    <n v="0"/>
    <n v="0"/>
    <n v="0"/>
    <n v="0"/>
    <n v="0"/>
    <n v="0"/>
    <n v="0"/>
    <n v="0"/>
    <n v="0"/>
    <n v="0"/>
    <n v="0"/>
    <n v="0"/>
    <n v="0"/>
    <x v="1"/>
  </r>
  <r>
    <x v="0"/>
    <x v="7"/>
    <s v="Central level"/>
    <n v="0"/>
    <n v="0"/>
    <n v="0"/>
    <n v="0"/>
    <n v="0"/>
    <n v="0"/>
    <n v="0"/>
    <n v="0"/>
    <n v="0"/>
    <n v="0"/>
    <n v="0"/>
    <n v="0"/>
    <n v="0"/>
    <n v="0"/>
    <n v="0"/>
    <n v="0"/>
    <n v="0"/>
    <n v="0"/>
    <n v="0"/>
    <n v="0"/>
    <n v="0"/>
    <n v="0"/>
    <x v="1"/>
  </r>
  <r>
    <x v="0"/>
    <x v="7"/>
    <s v="Central level"/>
    <n v="0"/>
    <n v="0"/>
    <n v="0"/>
    <n v="0"/>
    <n v="0"/>
    <n v="0"/>
    <n v="0"/>
    <n v="0"/>
    <n v="0"/>
    <n v="0"/>
    <n v="0"/>
    <n v="0"/>
    <n v="0"/>
    <n v="0"/>
    <n v="0"/>
    <n v="0"/>
    <n v="0"/>
    <n v="0"/>
    <n v="0"/>
    <n v="0"/>
    <n v="0"/>
    <n v="0"/>
    <x v="1"/>
  </r>
  <r>
    <x v="0"/>
    <x v="7"/>
    <s v="Central level"/>
    <n v="0"/>
    <n v="0"/>
    <n v="0"/>
    <n v="0"/>
    <n v="0"/>
    <n v="0"/>
    <n v="0"/>
    <n v="0"/>
    <n v="0"/>
    <n v="0"/>
    <n v="0"/>
    <n v="0"/>
    <n v="0"/>
    <n v="0"/>
    <n v="0"/>
    <n v="0"/>
    <n v="0"/>
    <n v="0"/>
    <n v="0"/>
    <n v="0"/>
    <n v="0"/>
    <n v="0"/>
    <x v="1"/>
  </r>
  <r>
    <x v="0"/>
    <x v="7"/>
    <s v="Central level"/>
    <s v="National-level"/>
    <n v="124979.62400000001"/>
    <n v="0"/>
    <n v="0"/>
    <n v="124979.62400000001"/>
    <n v="0"/>
    <n v="0"/>
    <n v="124979.62400000001"/>
    <n v="0"/>
    <n v="0"/>
    <n v="0"/>
    <n v="374938.87200000003"/>
    <n v="124979.62400000001"/>
    <n v="0"/>
    <n v="0"/>
    <n v="124979.62400000001"/>
    <n v="0"/>
    <n v="0"/>
    <n v="124979.62400000001"/>
    <n v="0"/>
    <n v="0"/>
    <n v="0"/>
    <x v="1"/>
  </r>
  <r>
    <x v="0"/>
    <x v="8"/>
    <s v="Central level"/>
    <s v="Central"/>
    <n v="0"/>
    <n v="0"/>
    <n v="0"/>
    <n v="0"/>
    <n v="0"/>
    <n v="0"/>
    <n v="0"/>
    <n v="0"/>
    <n v="0"/>
    <n v="0"/>
    <n v="0"/>
    <n v="0"/>
    <n v="0"/>
    <n v="0"/>
    <n v="0"/>
    <n v="0"/>
    <n v="0"/>
    <n v="0"/>
    <n v="0"/>
    <n v="0"/>
    <n v="0"/>
    <x v="1"/>
  </r>
  <r>
    <x v="0"/>
    <x v="8"/>
    <s v="Central level"/>
    <s v="Copperbelt"/>
    <n v="0"/>
    <n v="0"/>
    <n v="0"/>
    <n v="0"/>
    <n v="0"/>
    <n v="0"/>
    <n v="0"/>
    <n v="0"/>
    <n v="0"/>
    <n v="0"/>
    <n v="0"/>
    <n v="0"/>
    <n v="0"/>
    <n v="0"/>
    <n v="0"/>
    <n v="0"/>
    <n v="0"/>
    <n v="0"/>
    <n v="0"/>
    <n v="0"/>
    <n v="0"/>
    <x v="1"/>
  </r>
  <r>
    <x v="0"/>
    <x v="8"/>
    <s v="Central level"/>
    <s v="Eastern"/>
    <n v="0"/>
    <n v="0"/>
    <n v="0"/>
    <n v="0"/>
    <n v="0"/>
    <n v="0"/>
    <n v="0"/>
    <n v="0"/>
    <n v="0"/>
    <n v="0"/>
    <n v="0"/>
    <n v="0"/>
    <n v="0"/>
    <n v="0"/>
    <n v="0"/>
    <n v="0"/>
    <n v="0"/>
    <n v="0"/>
    <n v="0"/>
    <n v="0"/>
    <n v="0"/>
    <x v="1"/>
  </r>
  <r>
    <x v="0"/>
    <x v="8"/>
    <s v="Central level"/>
    <s v="Luapula"/>
    <n v="0"/>
    <n v="0"/>
    <n v="0"/>
    <n v="0"/>
    <n v="0"/>
    <n v="0"/>
    <n v="0"/>
    <n v="0"/>
    <n v="0"/>
    <n v="0"/>
    <n v="0"/>
    <n v="0"/>
    <n v="0"/>
    <n v="0"/>
    <n v="0"/>
    <n v="0"/>
    <n v="0"/>
    <n v="0"/>
    <n v="0"/>
    <n v="0"/>
    <n v="0"/>
    <x v="1"/>
  </r>
  <r>
    <x v="0"/>
    <x v="8"/>
    <s v="Central level"/>
    <s v="Lusaka"/>
    <n v="0"/>
    <n v="0"/>
    <n v="0"/>
    <n v="0"/>
    <n v="0"/>
    <n v="0"/>
    <n v="0"/>
    <n v="0"/>
    <n v="0"/>
    <n v="0"/>
    <n v="0"/>
    <n v="0"/>
    <n v="0"/>
    <n v="0"/>
    <n v="0"/>
    <n v="0"/>
    <n v="0"/>
    <n v="0"/>
    <n v="0"/>
    <n v="0"/>
    <n v="0"/>
    <x v="1"/>
  </r>
  <r>
    <x v="0"/>
    <x v="8"/>
    <s v="Central level"/>
    <s v="Muchinga"/>
    <n v="0"/>
    <n v="0"/>
    <n v="0"/>
    <n v="0"/>
    <n v="0"/>
    <n v="0"/>
    <n v="0"/>
    <n v="0"/>
    <n v="0"/>
    <n v="0"/>
    <n v="0"/>
    <n v="0"/>
    <n v="0"/>
    <n v="0"/>
    <n v="0"/>
    <n v="0"/>
    <n v="0"/>
    <n v="0"/>
    <n v="0"/>
    <n v="0"/>
    <n v="0"/>
    <x v="1"/>
  </r>
  <r>
    <x v="0"/>
    <x v="8"/>
    <s v="Central level"/>
    <s v="Northern"/>
    <n v="0"/>
    <n v="0"/>
    <n v="0"/>
    <n v="0"/>
    <n v="0"/>
    <n v="0"/>
    <n v="0"/>
    <n v="0"/>
    <n v="0"/>
    <n v="0"/>
    <n v="0"/>
    <n v="0"/>
    <n v="0"/>
    <n v="0"/>
    <n v="0"/>
    <n v="0"/>
    <n v="0"/>
    <n v="0"/>
    <n v="0"/>
    <n v="0"/>
    <n v="0"/>
    <x v="1"/>
  </r>
  <r>
    <x v="0"/>
    <x v="8"/>
    <s v="Central level"/>
    <s v="North Western"/>
    <n v="0"/>
    <n v="0"/>
    <n v="0"/>
    <n v="0"/>
    <n v="0"/>
    <n v="0"/>
    <n v="0"/>
    <n v="0"/>
    <n v="0"/>
    <n v="0"/>
    <n v="0"/>
    <n v="0"/>
    <n v="0"/>
    <n v="0"/>
    <n v="0"/>
    <n v="0"/>
    <n v="0"/>
    <n v="0"/>
    <n v="0"/>
    <n v="0"/>
    <n v="0"/>
    <x v="1"/>
  </r>
  <r>
    <x v="0"/>
    <x v="8"/>
    <s v="Central level"/>
    <s v="Southern"/>
    <n v="0"/>
    <n v="0"/>
    <n v="0"/>
    <n v="0"/>
    <n v="0"/>
    <n v="0"/>
    <n v="0"/>
    <n v="0"/>
    <n v="0"/>
    <n v="0"/>
    <n v="0"/>
    <n v="0"/>
    <n v="0"/>
    <n v="0"/>
    <n v="0"/>
    <n v="0"/>
    <n v="0"/>
    <n v="0"/>
    <n v="0"/>
    <n v="0"/>
    <n v="0"/>
    <x v="1"/>
  </r>
  <r>
    <x v="0"/>
    <x v="8"/>
    <s v="Central level"/>
    <s v="Western"/>
    <n v="0"/>
    <n v="0"/>
    <n v="0"/>
    <n v="0"/>
    <n v="0"/>
    <n v="0"/>
    <n v="0"/>
    <n v="0"/>
    <n v="0"/>
    <n v="0"/>
    <n v="0"/>
    <n v="0"/>
    <n v="0"/>
    <n v="0"/>
    <n v="0"/>
    <n v="0"/>
    <n v="0"/>
    <n v="0"/>
    <n v="0"/>
    <n v="0"/>
    <n v="0"/>
    <x v="1"/>
  </r>
  <r>
    <x v="0"/>
    <x v="8"/>
    <s v="Central level"/>
    <n v="0"/>
    <n v="0"/>
    <n v="0"/>
    <n v="0"/>
    <n v="0"/>
    <n v="0"/>
    <n v="0"/>
    <n v="0"/>
    <n v="0"/>
    <n v="0"/>
    <n v="0"/>
    <n v="0"/>
    <n v="0"/>
    <n v="0"/>
    <n v="0"/>
    <n v="0"/>
    <n v="0"/>
    <n v="0"/>
    <n v="0"/>
    <n v="0"/>
    <n v="0"/>
    <n v="0"/>
    <x v="1"/>
  </r>
  <r>
    <x v="0"/>
    <x v="8"/>
    <s v="Central level"/>
    <n v="0"/>
    <n v="0"/>
    <n v="0"/>
    <n v="0"/>
    <n v="0"/>
    <n v="0"/>
    <n v="0"/>
    <n v="0"/>
    <n v="0"/>
    <n v="0"/>
    <n v="0"/>
    <n v="0"/>
    <n v="0"/>
    <n v="0"/>
    <n v="0"/>
    <n v="0"/>
    <n v="0"/>
    <n v="0"/>
    <n v="0"/>
    <n v="0"/>
    <n v="0"/>
    <n v="0"/>
    <x v="1"/>
  </r>
  <r>
    <x v="0"/>
    <x v="8"/>
    <s v="Central level"/>
    <n v="0"/>
    <n v="0"/>
    <n v="0"/>
    <n v="0"/>
    <n v="0"/>
    <n v="0"/>
    <n v="0"/>
    <n v="0"/>
    <n v="0"/>
    <n v="0"/>
    <n v="0"/>
    <n v="0"/>
    <n v="0"/>
    <n v="0"/>
    <n v="0"/>
    <n v="0"/>
    <n v="0"/>
    <n v="0"/>
    <n v="0"/>
    <n v="0"/>
    <n v="0"/>
    <n v="0"/>
    <x v="1"/>
  </r>
  <r>
    <x v="0"/>
    <x v="8"/>
    <s v="Central level"/>
    <n v="0"/>
    <n v="0"/>
    <n v="0"/>
    <n v="0"/>
    <n v="0"/>
    <n v="0"/>
    <n v="0"/>
    <n v="0"/>
    <n v="0"/>
    <n v="0"/>
    <n v="0"/>
    <n v="0"/>
    <n v="0"/>
    <n v="0"/>
    <n v="0"/>
    <n v="0"/>
    <n v="0"/>
    <n v="0"/>
    <n v="0"/>
    <n v="0"/>
    <n v="0"/>
    <n v="0"/>
    <x v="1"/>
  </r>
  <r>
    <x v="0"/>
    <x v="8"/>
    <s v="Central level"/>
    <n v="0"/>
    <n v="0"/>
    <n v="0"/>
    <n v="0"/>
    <n v="0"/>
    <n v="0"/>
    <n v="0"/>
    <n v="0"/>
    <n v="0"/>
    <n v="0"/>
    <n v="0"/>
    <n v="0"/>
    <n v="0"/>
    <n v="0"/>
    <n v="0"/>
    <n v="0"/>
    <n v="0"/>
    <n v="0"/>
    <n v="0"/>
    <n v="0"/>
    <n v="0"/>
    <n v="0"/>
    <x v="1"/>
  </r>
  <r>
    <x v="0"/>
    <x v="8"/>
    <s v="Central level"/>
    <s v="National-level"/>
    <n v="55000"/>
    <n v="55000"/>
    <n v="55000"/>
    <n v="55000"/>
    <n v="55000"/>
    <n v="55000"/>
    <n v="55000"/>
    <n v="55000"/>
    <n v="0"/>
    <n v="0"/>
    <n v="440000"/>
    <n v="55000"/>
    <n v="55000"/>
    <n v="55000"/>
    <n v="55000"/>
    <n v="55000"/>
    <n v="55000"/>
    <n v="55000"/>
    <n v="55000"/>
    <n v="0"/>
    <n v="0"/>
    <x v="1"/>
  </r>
  <r>
    <x v="0"/>
    <x v="9"/>
    <s v="Central level"/>
    <s v="Central"/>
    <n v="0"/>
    <n v="0"/>
    <n v="0"/>
    <n v="0"/>
    <n v="0"/>
    <n v="0"/>
    <n v="0"/>
    <n v="0"/>
    <n v="0"/>
    <n v="0"/>
    <n v="0"/>
    <n v="0"/>
    <n v="0"/>
    <n v="0"/>
    <n v="0"/>
    <n v="0"/>
    <n v="0"/>
    <n v="0"/>
    <n v="0"/>
    <n v="0"/>
    <n v="0"/>
    <x v="1"/>
  </r>
  <r>
    <x v="0"/>
    <x v="9"/>
    <s v="Central level"/>
    <s v="Copperbelt"/>
    <n v="0"/>
    <n v="0"/>
    <n v="0"/>
    <n v="0"/>
    <n v="0"/>
    <n v="0"/>
    <n v="0"/>
    <n v="0"/>
    <n v="0"/>
    <n v="0"/>
    <n v="0"/>
    <n v="0"/>
    <n v="0"/>
    <n v="0"/>
    <n v="0"/>
    <n v="0"/>
    <n v="0"/>
    <n v="0"/>
    <n v="0"/>
    <n v="0"/>
    <n v="0"/>
    <x v="1"/>
  </r>
  <r>
    <x v="0"/>
    <x v="9"/>
    <s v="Central level"/>
    <s v="Eastern"/>
    <n v="0"/>
    <n v="0"/>
    <n v="0"/>
    <n v="0"/>
    <n v="0"/>
    <n v="0"/>
    <n v="0"/>
    <n v="0"/>
    <n v="0"/>
    <n v="0"/>
    <n v="0"/>
    <n v="0"/>
    <n v="0"/>
    <n v="0"/>
    <n v="0"/>
    <n v="0"/>
    <n v="0"/>
    <n v="0"/>
    <n v="0"/>
    <n v="0"/>
    <n v="0"/>
    <x v="1"/>
  </r>
  <r>
    <x v="0"/>
    <x v="9"/>
    <s v="Central level"/>
    <s v="Luapula"/>
    <n v="0"/>
    <n v="0"/>
    <n v="0"/>
    <n v="0"/>
    <n v="0"/>
    <n v="0"/>
    <n v="0"/>
    <n v="0"/>
    <n v="0"/>
    <n v="0"/>
    <n v="0"/>
    <n v="0"/>
    <n v="0"/>
    <n v="0"/>
    <n v="0"/>
    <n v="0"/>
    <n v="0"/>
    <n v="0"/>
    <n v="0"/>
    <n v="0"/>
    <n v="0"/>
    <x v="1"/>
  </r>
  <r>
    <x v="0"/>
    <x v="9"/>
    <s v="Central level"/>
    <s v="Lusaka"/>
    <n v="0"/>
    <n v="0"/>
    <n v="0"/>
    <n v="0"/>
    <n v="0"/>
    <n v="0"/>
    <n v="0"/>
    <n v="0"/>
    <n v="0"/>
    <n v="0"/>
    <n v="0"/>
    <n v="0"/>
    <n v="0"/>
    <n v="0"/>
    <n v="0"/>
    <n v="0"/>
    <n v="0"/>
    <n v="0"/>
    <n v="0"/>
    <n v="0"/>
    <n v="0"/>
    <x v="1"/>
  </r>
  <r>
    <x v="0"/>
    <x v="9"/>
    <s v="Central level"/>
    <s v="Muchinga"/>
    <n v="0"/>
    <n v="0"/>
    <n v="0"/>
    <n v="0"/>
    <n v="0"/>
    <n v="0"/>
    <n v="0"/>
    <n v="0"/>
    <n v="0"/>
    <n v="0"/>
    <n v="0"/>
    <n v="0"/>
    <n v="0"/>
    <n v="0"/>
    <n v="0"/>
    <n v="0"/>
    <n v="0"/>
    <n v="0"/>
    <n v="0"/>
    <n v="0"/>
    <n v="0"/>
    <x v="1"/>
  </r>
  <r>
    <x v="0"/>
    <x v="9"/>
    <s v="Central level"/>
    <s v="Northern"/>
    <n v="0"/>
    <n v="0"/>
    <n v="0"/>
    <n v="0"/>
    <n v="0"/>
    <n v="0"/>
    <n v="0"/>
    <n v="0"/>
    <n v="0"/>
    <n v="0"/>
    <n v="0"/>
    <n v="0"/>
    <n v="0"/>
    <n v="0"/>
    <n v="0"/>
    <n v="0"/>
    <n v="0"/>
    <n v="0"/>
    <n v="0"/>
    <n v="0"/>
    <n v="0"/>
    <x v="1"/>
  </r>
  <r>
    <x v="0"/>
    <x v="9"/>
    <s v="Central level"/>
    <s v="North Western"/>
    <n v="0"/>
    <n v="0"/>
    <n v="0"/>
    <n v="0"/>
    <n v="0"/>
    <n v="0"/>
    <n v="0"/>
    <n v="0"/>
    <n v="0"/>
    <n v="0"/>
    <n v="0"/>
    <n v="0"/>
    <n v="0"/>
    <n v="0"/>
    <n v="0"/>
    <n v="0"/>
    <n v="0"/>
    <n v="0"/>
    <n v="0"/>
    <n v="0"/>
    <n v="0"/>
    <x v="1"/>
  </r>
  <r>
    <x v="0"/>
    <x v="9"/>
    <s v="Central level"/>
    <s v="Southern"/>
    <n v="0"/>
    <n v="0"/>
    <n v="0"/>
    <n v="0"/>
    <n v="0"/>
    <n v="0"/>
    <n v="0"/>
    <n v="0"/>
    <n v="0"/>
    <n v="0"/>
    <n v="0"/>
    <n v="0"/>
    <n v="0"/>
    <n v="0"/>
    <n v="0"/>
    <n v="0"/>
    <n v="0"/>
    <n v="0"/>
    <n v="0"/>
    <n v="0"/>
    <n v="0"/>
    <x v="1"/>
  </r>
  <r>
    <x v="0"/>
    <x v="9"/>
    <s v="Central level"/>
    <s v="Western"/>
    <n v="0"/>
    <n v="0"/>
    <n v="0"/>
    <n v="0"/>
    <n v="0"/>
    <n v="0"/>
    <n v="0"/>
    <n v="0"/>
    <n v="0"/>
    <n v="0"/>
    <n v="0"/>
    <n v="0"/>
    <n v="0"/>
    <n v="0"/>
    <n v="0"/>
    <n v="0"/>
    <n v="0"/>
    <n v="0"/>
    <n v="0"/>
    <n v="0"/>
    <n v="0"/>
    <x v="1"/>
  </r>
  <r>
    <x v="0"/>
    <x v="9"/>
    <s v="Central level"/>
    <n v="0"/>
    <n v="0"/>
    <n v="0"/>
    <n v="0"/>
    <n v="0"/>
    <n v="0"/>
    <n v="0"/>
    <n v="0"/>
    <n v="0"/>
    <n v="0"/>
    <n v="0"/>
    <n v="0"/>
    <n v="0"/>
    <n v="0"/>
    <n v="0"/>
    <n v="0"/>
    <n v="0"/>
    <n v="0"/>
    <n v="0"/>
    <n v="0"/>
    <n v="0"/>
    <n v="0"/>
    <x v="1"/>
  </r>
  <r>
    <x v="0"/>
    <x v="9"/>
    <s v="Central level"/>
    <n v="0"/>
    <n v="0"/>
    <n v="0"/>
    <n v="0"/>
    <n v="0"/>
    <n v="0"/>
    <n v="0"/>
    <n v="0"/>
    <n v="0"/>
    <n v="0"/>
    <n v="0"/>
    <n v="0"/>
    <n v="0"/>
    <n v="0"/>
    <n v="0"/>
    <n v="0"/>
    <n v="0"/>
    <n v="0"/>
    <n v="0"/>
    <n v="0"/>
    <n v="0"/>
    <n v="0"/>
    <x v="1"/>
  </r>
  <r>
    <x v="0"/>
    <x v="9"/>
    <s v="Central level"/>
    <n v="0"/>
    <n v="0"/>
    <n v="0"/>
    <n v="0"/>
    <n v="0"/>
    <n v="0"/>
    <n v="0"/>
    <n v="0"/>
    <n v="0"/>
    <n v="0"/>
    <n v="0"/>
    <n v="0"/>
    <n v="0"/>
    <n v="0"/>
    <n v="0"/>
    <n v="0"/>
    <n v="0"/>
    <n v="0"/>
    <n v="0"/>
    <n v="0"/>
    <n v="0"/>
    <n v="0"/>
    <x v="1"/>
  </r>
  <r>
    <x v="0"/>
    <x v="9"/>
    <s v="Central level"/>
    <n v="0"/>
    <n v="0"/>
    <n v="0"/>
    <n v="0"/>
    <n v="0"/>
    <n v="0"/>
    <n v="0"/>
    <n v="0"/>
    <n v="0"/>
    <n v="0"/>
    <n v="0"/>
    <n v="0"/>
    <n v="0"/>
    <n v="0"/>
    <n v="0"/>
    <n v="0"/>
    <n v="0"/>
    <n v="0"/>
    <n v="0"/>
    <n v="0"/>
    <n v="0"/>
    <n v="0"/>
    <x v="1"/>
  </r>
  <r>
    <x v="0"/>
    <x v="9"/>
    <s v="Central level"/>
    <n v="0"/>
    <n v="0"/>
    <n v="0"/>
    <n v="0"/>
    <n v="0"/>
    <n v="0"/>
    <n v="0"/>
    <n v="0"/>
    <n v="0"/>
    <n v="0"/>
    <n v="0"/>
    <n v="0"/>
    <n v="0"/>
    <n v="0"/>
    <n v="0"/>
    <n v="0"/>
    <n v="0"/>
    <n v="0"/>
    <n v="0"/>
    <n v="0"/>
    <n v="0"/>
    <n v="0"/>
    <x v="1"/>
  </r>
  <r>
    <x v="0"/>
    <x v="9"/>
    <s v="Central level"/>
    <s v="National-level"/>
    <n v="0"/>
    <n v="0"/>
    <n v="0"/>
    <n v="0"/>
    <n v="0"/>
    <n v="0"/>
    <n v="0"/>
    <n v="0"/>
    <n v="0"/>
    <n v="0"/>
    <n v="0"/>
    <n v="0"/>
    <n v="0"/>
    <n v="0"/>
    <n v="0"/>
    <n v="0"/>
    <n v="0"/>
    <n v="0"/>
    <n v="0"/>
    <n v="0"/>
    <n v="0"/>
    <x v="1"/>
  </r>
  <r>
    <x v="0"/>
    <x v="10"/>
    <s v="Central level"/>
    <s v="Central"/>
    <n v="0"/>
    <n v="0"/>
    <n v="0"/>
    <n v="0"/>
    <n v="0"/>
    <n v="0"/>
    <n v="0"/>
    <n v="0"/>
    <n v="0"/>
    <n v="0"/>
    <n v="0"/>
    <n v="0"/>
    <n v="0"/>
    <n v="0"/>
    <n v="0"/>
    <n v="0"/>
    <n v="0"/>
    <n v="0"/>
    <n v="0"/>
    <n v="0"/>
    <n v="0"/>
    <x v="1"/>
  </r>
  <r>
    <x v="0"/>
    <x v="10"/>
    <s v="Central level"/>
    <s v="Copperbelt"/>
    <n v="0"/>
    <n v="0"/>
    <n v="0"/>
    <n v="0"/>
    <n v="0"/>
    <n v="0"/>
    <n v="0"/>
    <n v="0"/>
    <n v="0"/>
    <n v="0"/>
    <n v="0"/>
    <n v="0"/>
    <n v="0"/>
    <n v="0"/>
    <n v="0"/>
    <n v="0"/>
    <n v="0"/>
    <n v="0"/>
    <n v="0"/>
    <n v="0"/>
    <n v="0"/>
    <x v="1"/>
  </r>
  <r>
    <x v="0"/>
    <x v="10"/>
    <s v="Central level"/>
    <s v="Eastern"/>
    <n v="0"/>
    <n v="0"/>
    <n v="0"/>
    <n v="0"/>
    <n v="0"/>
    <n v="0"/>
    <n v="0"/>
    <n v="0"/>
    <n v="0"/>
    <n v="0"/>
    <n v="0"/>
    <n v="0"/>
    <n v="0"/>
    <n v="0"/>
    <n v="0"/>
    <n v="0"/>
    <n v="0"/>
    <n v="0"/>
    <n v="0"/>
    <n v="0"/>
    <n v="0"/>
    <x v="1"/>
  </r>
  <r>
    <x v="0"/>
    <x v="10"/>
    <s v="Central level"/>
    <s v="Luapula"/>
    <n v="0"/>
    <n v="0"/>
    <n v="0"/>
    <n v="0"/>
    <n v="0"/>
    <n v="0"/>
    <n v="0"/>
    <n v="0"/>
    <n v="0"/>
    <n v="0"/>
    <n v="0"/>
    <n v="0"/>
    <n v="0"/>
    <n v="0"/>
    <n v="0"/>
    <n v="0"/>
    <n v="0"/>
    <n v="0"/>
    <n v="0"/>
    <n v="0"/>
    <n v="0"/>
    <x v="1"/>
  </r>
  <r>
    <x v="0"/>
    <x v="10"/>
    <s v="Central level"/>
    <s v="Lusaka"/>
    <n v="0"/>
    <n v="0"/>
    <n v="0"/>
    <n v="0"/>
    <n v="0"/>
    <n v="0"/>
    <n v="0"/>
    <n v="0"/>
    <n v="0"/>
    <n v="0"/>
    <n v="0"/>
    <n v="0"/>
    <n v="0"/>
    <n v="0"/>
    <n v="0"/>
    <n v="0"/>
    <n v="0"/>
    <n v="0"/>
    <n v="0"/>
    <n v="0"/>
    <n v="0"/>
    <x v="1"/>
  </r>
  <r>
    <x v="0"/>
    <x v="10"/>
    <s v="Central level"/>
    <s v="Muchinga"/>
    <n v="0"/>
    <n v="0"/>
    <n v="0"/>
    <n v="0"/>
    <n v="0"/>
    <n v="0"/>
    <n v="0"/>
    <n v="0"/>
    <n v="0"/>
    <n v="0"/>
    <n v="0"/>
    <n v="0"/>
    <n v="0"/>
    <n v="0"/>
    <n v="0"/>
    <n v="0"/>
    <n v="0"/>
    <n v="0"/>
    <n v="0"/>
    <n v="0"/>
    <n v="0"/>
    <x v="1"/>
  </r>
  <r>
    <x v="0"/>
    <x v="10"/>
    <s v="Central level"/>
    <s v="Northern"/>
    <n v="0"/>
    <n v="0"/>
    <n v="0"/>
    <n v="0"/>
    <n v="0"/>
    <n v="0"/>
    <n v="0"/>
    <n v="0"/>
    <n v="0"/>
    <n v="0"/>
    <n v="0"/>
    <n v="0"/>
    <n v="0"/>
    <n v="0"/>
    <n v="0"/>
    <n v="0"/>
    <n v="0"/>
    <n v="0"/>
    <n v="0"/>
    <n v="0"/>
    <n v="0"/>
    <x v="1"/>
  </r>
  <r>
    <x v="0"/>
    <x v="10"/>
    <s v="Central level"/>
    <s v="North Western"/>
    <n v="0"/>
    <n v="0"/>
    <n v="0"/>
    <n v="0"/>
    <n v="0"/>
    <n v="0"/>
    <n v="0"/>
    <n v="0"/>
    <n v="0"/>
    <n v="0"/>
    <n v="0"/>
    <n v="0"/>
    <n v="0"/>
    <n v="0"/>
    <n v="0"/>
    <n v="0"/>
    <n v="0"/>
    <n v="0"/>
    <n v="0"/>
    <n v="0"/>
    <n v="0"/>
    <x v="1"/>
  </r>
  <r>
    <x v="0"/>
    <x v="10"/>
    <s v="Central level"/>
    <s v="Southern"/>
    <n v="0"/>
    <n v="0"/>
    <n v="0"/>
    <n v="0"/>
    <n v="0"/>
    <n v="0"/>
    <n v="0"/>
    <n v="0"/>
    <n v="0"/>
    <n v="0"/>
    <n v="0"/>
    <n v="0"/>
    <n v="0"/>
    <n v="0"/>
    <n v="0"/>
    <n v="0"/>
    <n v="0"/>
    <n v="0"/>
    <n v="0"/>
    <n v="0"/>
    <n v="0"/>
    <x v="1"/>
  </r>
  <r>
    <x v="0"/>
    <x v="10"/>
    <s v="Central level"/>
    <s v="Western"/>
    <n v="0"/>
    <n v="0"/>
    <n v="0"/>
    <n v="0"/>
    <n v="0"/>
    <n v="0"/>
    <n v="0"/>
    <n v="0"/>
    <n v="0"/>
    <n v="0"/>
    <n v="0"/>
    <n v="0"/>
    <n v="0"/>
    <n v="0"/>
    <n v="0"/>
    <n v="0"/>
    <n v="0"/>
    <n v="0"/>
    <n v="0"/>
    <n v="0"/>
    <n v="0"/>
    <x v="1"/>
  </r>
  <r>
    <x v="0"/>
    <x v="10"/>
    <s v="Central level"/>
    <n v="0"/>
    <n v="0"/>
    <n v="0"/>
    <n v="0"/>
    <n v="0"/>
    <n v="0"/>
    <n v="0"/>
    <n v="0"/>
    <n v="0"/>
    <n v="0"/>
    <n v="0"/>
    <n v="0"/>
    <n v="0"/>
    <n v="0"/>
    <n v="0"/>
    <n v="0"/>
    <n v="0"/>
    <n v="0"/>
    <n v="0"/>
    <n v="0"/>
    <n v="0"/>
    <n v="0"/>
    <x v="1"/>
  </r>
  <r>
    <x v="0"/>
    <x v="10"/>
    <s v="Central level"/>
    <n v="0"/>
    <n v="0"/>
    <n v="0"/>
    <n v="0"/>
    <n v="0"/>
    <n v="0"/>
    <n v="0"/>
    <n v="0"/>
    <n v="0"/>
    <n v="0"/>
    <n v="0"/>
    <n v="0"/>
    <n v="0"/>
    <n v="0"/>
    <n v="0"/>
    <n v="0"/>
    <n v="0"/>
    <n v="0"/>
    <n v="0"/>
    <n v="0"/>
    <n v="0"/>
    <n v="0"/>
    <x v="1"/>
  </r>
  <r>
    <x v="0"/>
    <x v="10"/>
    <s v="Central level"/>
    <n v="0"/>
    <n v="0"/>
    <n v="0"/>
    <n v="0"/>
    <n v="0"/>
    <n v="0"/>
    <n v="0"/>
    <n v="0"/>
    <n v="0"/>
    <n v="0"/>
    <n v="0"/>
    <n v="0"/>
    <n v="0"/>
    <n v="0"/>
    <n v="0"/>
    <n v="0"/>
    <n v="0"/>
    <n v="0"/>
    <n v="0"/>
    <n v="0"/>
    <n v="0"/>
    <n v="0"/>
    <x v="1"/>
  </r>
  <r>
    <x v="0"/>
    <x v="10"/>
    <s v="Central level"/>
    <n v="0"/>
    <n v="0"/>
    <n v="0"/>
    <n v="0"/>
    <n v="0"/>
    <n v="0"/>
    <n v="0"/>
    <n v="0"/>
    <n v="0"/>
    <n v="0"/>
    <n v="0"/>
    <n v="0"/>
    <n v="0"/>
    <n v="0"/>
    <n v="0"/>
    <n v="0"/>
    <n v="0"/>
    <n v="0"/>
    <n v="0"/>
    <n v="0"/>
    <n v="0"/>
    <n v="0"/>
    <x v="1"/>
  </r>
  <r>
    <x v="0"/>
    <x v="10"/>
    <s v="Central level"/>
    <n v="0"/>
    <n v="0"/>
    <n v="0"/>
    <n v="0"/>
    <n v="0"/>
    <n v="0"/>
    <n v="0"/>
    <n v="0"/>
    <n v="0"/>
    <n v="0"/>
    <n v="0"/>
    <n v="0"/>
    <n v="0"/>
    <n v="0"/>
    <n v="0"/>
    <n v="0"/>
    <n v="0"/>
    <n v="0"/>
    <n v="0"/>
    <n v="0"/>
    <n v="0"/>
    <n v="0"/>
    <x v="1"/>
  </r>
  <r>
    <x v="0"/>
    <x v="10"/>
    <s v="Central level"/>
    <s v="National-level"/>
    <n v="0"/>
    <n v="0"/>
    <n v="0"/>
    <n v="0"/>
    <n v="0"/>
    <n v="0"/>
    <n v="0"/>
    <n v="0"/>
    <n v="0"/>
    <n v="0"/>
    <n v="0"/>
    <n v="0"/>
    <n v="0"/>
    <n v="0"/>
    <n v="0"/>
    <n v="0"/>
    <n v="0"/>
    <n v="0"/>
    <n v="0"/>
    <n v="0"/>
    <n v="0"/>
    <x v="1"/>
  </r>
  <r>
    <x v="0"/>
    <x v="11"/>
    <s v="Districts"/>
    <s v="Central"/>
    <n v="0"/>
    <n v="54751.374666666656"/>
    <n v="54751.374666666656"/>
    <n v="54751.374666666656"/>
    <n v="54751.374666666656"/>
    <n v="54751.374666666656"/>
    <n v="54751.374666666656"/>
    <n v="54751.374666666656"/>
    <n v="0"/>
    <n v="0"/>
    <n v="383259.62266666663"/>
    <n v="0"/>
    <n v="54751.374666666656"/>
    <n v="54751.374666666656"/>
    <n v="54751.374666666656"/>
    <n v="54751.374666666656"/>
    <n v="54751.374666666656"/>
    <n v="54751.374666666656"/>
    <n v="54751.374666666656"/>
    <n v="0"/>
    <n v="0"/>
    <x v="2"/>
  </r>
  <r>
    <x v="0"/>
    <x v="11"/>
    <s v="Districts"/>
    <s v="Copperbelt"/>
    <n v="0"/>
    <n v="91252.291111111103"/>
    <n v="91252.291111111103"/>
    <n v="91252.291111111103"/>
    <n v="91252.291111111103"/>
    <n v="91252.291111111103"/>
    <n v="91252.291111111103"/>
    <n v="91252.291111111103"/>
    <n v="0"/>
    <n v="0"/>
    <n v="638766.03777777764"/>
    <n v="0"/>
    <n v="91252.291111111103"/>
    <n v="91252.291111111103"/>
    <n v="91252.291111111103"/>
    <n v="91252.291111111103"/>
    <n v="91252.291111111103"/>
    <n v="91252.291111111103"/>
    <n v="91252.291111111103"/>
    <n v="0"/>
    <n v="0"/>
    <x v="2"/>
  </r>
  <r>
    <x v="0"/>
    <x v="11"/>
    <s v="Districts"/>
    <s v="Eastern"/>
    <n v="0"/>
    <n v="63876.603777777775"/>
    <n v="63876.603777777775"/>
    <n v="63876.603777777775"/>
    <n v="63876.603777777775"/>
    <n v="63876.603777777775"/>
    <n v="63876.603777777775"/>
    <n v="63876.603777777775"/>
    <n v="0"/>
    <n v="0"/>
    <n v="447136.22644444439"/>
    <n v="0"/>
    <n v="63876.603777777775"/>
    <n v="63876.603777777775"/>
    <n v="63876.603777777775"/>
    <n v="63876.603777777775"/>
    <n v="63876.603777777775"/>
    <n v="63876.603777777775"/>
    <n v="63876.603777777775"/>
    <n v="0"/>
    <n v="0"/>
    <x v="2"/>
  </r>
  <r>
    <x v="0"/>
    <x v="11"/>
    <s v="Districts"/>
    <s v="Luapula"/>
    <n v="0"/>
    <n v="63876.603777777775"/>
    <n v="63876.603777777775"/>
    <n v="63876.603777777775"/>
    <n v="63876.603777777775"/>
    <n v="63876.603777777775"/>
    <n v="63876.603777777775"/>
    <n v="63876.603777777775"/>
    <n v="0"/>
    <n v="0"/>
    <n v="447136.22644444439"/>
    <n v="0"/>
    <n v="63876.603777777775"/>
    <n v="63876.603777777775"/>
    <n v="63876.603777777775"/>
    <n v="63876.603777777775"/>
    <n v="63876.603777777775"/>
    <n v="63876.603777777775"/>
    <n v="63876.603777777775"/>
    <n v="0"/>
    <n v="0"/>
    <x v="2"/>
  </r>
  <r>
    <x v="0"/>
    <x v="11"/>
    <s v="Districts"/>
    <s v="Lusaka"/>
    <n v="0"/>
    <n v="36500.91644444444"/>
    <n v="36500.91644444444"/>
    <n v="36500.91644444444"/>
    <n v="36500.91644444444"/>
    <n v="36500.91644444444"/>
    <n v="36500.91644444444"/>
    <n v="36500.91644444444"/>
    <n v="0"/>
    <n v="0"/>
    <n v="255506.4151111111"/>
    <n v="0"/>
    <n v="36500.91644444444"/>
    <n v="36500.91644444444"/>
    <n v="36500.91644444444"/>
    <n v="36500.91644444444"/>
    <n v="36500.91644444444"/>
    <n v="36500.91644444444"/>
    <n v="36500.91644444444"/>
    <n v="0"/>
    <n v="0"/>
    <x v="2"/>
  </r>
  <r>
    <x v="0"/>
    <x v="11"/>
    <s v="Districts"/>
    <s v="Muchinga"/>
    <n v="0"/>
    <n v="45626.145555555551"/>
    <n v="45626.145555555551"/>
    <n v="45626.145555555551"/>
    <n v="45626.145555555551"/>
    <n v="45626.145555555551"/>
    <n v="45626.145555555551"/>
    <n v="45626.145555555551"/>
    <n v="0"/>
    <n v="0"/>
    <n v="319383.01888888882"/>
    <n v="0"/>
    <n v="45626.145555555551"/>
    <n v="45626.145555555551"/>
    <n v="45626.145555555551"/>
    <n v="45626.145555555551"/>
    <n v="45626.145555555551"/>
    <n v="45626.145555555551"/>
    <n v="45626.145555555551"/>
    <n v="0"/>
    <n v="0"/>
    <x v="2"/>
  </r>
  <r>
    <x v="0"/>
    <x v="11"/>
    <s v="Districts"/>
    <s v="Northern"/>
    <n v="0"/>
    <n v="73001.832888888879"/>
    <n v="73001.832888888879"/>
    <n v="73001.832888888879"/>
    <n v="73001.832888888879"/>
    <n v="73001.832888888879"/>
    <n v="73001.832888888879"/>
    <n v="73001.832888888879"/>
    <n v="0"/>
    <n v="0"/>
    <n v="511012.8302222222"/>
    <n v="0"/>
    <n v="73001.832888888879"/>
    <n v="73001.832888888879"/>
    <n v="73001.832888888879"/>
    <n v="73001.832888888879"/>
    <n v="73001.832888888879"/>
    <n v="73001.832888888879"/>
    <n v="73001.832888888879"/>
    <n v="0"/>
    <n v="0"/>
    <x v="2"/>
  </r>
  <r>
    <x v="0"/>
    <x v="11"/>
    <s v="Districts"/>
    <s v="North Western"/>
    <n v="0"/>
    <n v="63876.603777777775"/>
    <n v="63876.603777777775"/>
    <n v="63876.603777777775"/>
    <n v="63876.603777777775"/>
    <n v="63876.603777777775"/>
    <n v="63876.603777777775"/>
    <n v="63876.603777777775"/>
    <n v="0"/>
    <n v="0"/>
    <n v="447136.22644444439"/>
    <n v="0"/>
    <n v="63876.603777777775"/>
    <n v="63876.603777777775"/>
    <n v="63876.603777777775"/>
    <n v="63876.603777777775"/>
    <n v="63876.603777777775"/>
    <n v="63876.603777777775"/>
    <n v="63876.603777777775"/>
    <n v="0"/>
    <n v="0"/>
    <x v="2"/>
  </r>
  <r>
    <x v="0"/>
    <x v="11"/>
    <s v="Districts"/>
    <s v="Southern"/>
    <n v="0"/>
    <n v="100377.52022222221"/>
    <n v="100377.52022222221"/>
    <n v="100377.52022222221"/>
    <n v="100377.52022222221"/>
    <n v="100377.52022222221"/>
    <n v="100377.52022222221"/>
    <n v="100377.52022222221"/>
    <n v="0"/>
    <n v="0"/>
    <n v="702642.64155555551"/>
    <n v="0"/>
    <n v="100377.52022222221"/>
    <n v="100377.52022222221"/>
    <n v="100377.52022222221"/>
    <n v="100377.52022222221"/>
    <n v="100377.52022222221"/>
    <n v="100377.52022222221"/>
    <n v="100377.52022222221"/>
    <n v="0"/>
    <n v="0"/>
    <x v="2"/>
  </r>
  <r>
    <x v="0"/>
    <x v="11"/>
    <s v="Districts"/>
    <s v="Western"/>
    <n v="0"/>
    <n v="63876.603777777775"/>
    <n v="63876.603777777775"/>
    <n v="63876.603777777775"/>
    <n v="63876.603777777775"/>
    <n v="63876.603777777775"/>
    <n v="63876.603777777775"/>
    <n v="63876.603777777775"/>
    <n v="0"/>
    <n v="0"/>
    <n v="447136.22644444439"/>
    <n v="0"/>
    <n v="63876.603777777775"/>
    <n v="63876.603777777775"/>
    <n v="63876.603777777775"/>
    <n v="63876.603777777775"/>
    <n v="63876.603777777775"/>
    <n v="63876.603777777775"/>
    <n v="63876.603777777775"/>
    <n v="0"/>
    <n v="0"/>
    <x v="2"/>
  </r>
  <r>
    <x v="0"/>
    <x v="11"/>
    <s v="Districts"/>
    <n v="0"/>
    <n v="0"/>
    <n v="0"/>
    <n v="0"/>
    <n v="0"/>
    <n v="0"/>
    <n v="0"/>
    <n v="0"/>
    <n v="0"/>
    <n v="0"/>
    <n v="0"/>
    <n v="0"/>
    <n v="0"/>
    <n v="0"/>
    <n v="0"/>
    <n v="0"/>
    <n v="0"/>
    <n v="0"/>
    <n v="0"/>
    <n v="0"/>
    <n v="0"/>
    <n v="0"/>
    <x v="2"/>
  </r>
  <r>
    <x v="0"/>
    <x v="11"/>
    <s v="Districts"/>
    <n v="0"/>
    <n v="0"/>
    <n v="0"/>
    <n v="0"/>
    <n v="0"/>
    <n v="0"/>
    <n v="0"/>
    <n v="0"/>
    <n v="0"/>
    <n v="0"/>
    <n v="0"/>
    <n v="0"/>
    <n v="0"/>
    <n v="0"/>
    <n v="0"/>
    <n v="0"/>
    <n v="0"/>
    <n v="0"/>
    <n v="0"/>
    <n v="0"/>
    <n v="0"/>
    <n v="0"/>
    <x v="2"/>
  </r>
  <r>
    <x v="0"/>
    <x v="11"/>
    <s v="Districts"/>
    <n v="0"/>
    <n v="0"/>
    <n v="0"/>
    <n v="0"/>
    <n v="0"/>
    <n v="0"/>
    <n v="0"/>
    <n v="0"/>
    <n v="0"/>
    <n v="0"/>
    <n v="0"/>
    <n v="0"/>
    <n v="0"/>
    <n v="0"/>
    <n v="0"/>
    <n v="0"/>
    <n v="0"/>
    <n v="0"/>
    <n v="0"/>
    <n v="0"/>
    <n v="0"/>
    <n v="0"/>
    <x v="2"/>
  </r>
  <r>
    <x v="0"/>
    <x v="11"/>
    <s v="Districts"/>
    <n v="0"/>
    <n v="0"/>
    <n v="0"/>
    <n v="0"/>
    <n v="0"/>
    <n v="0"/>
    <n v="0"/>
    <n v="0"/>
    <n v="0"/>
    <n v="0"/>
    <n v="0"/>
    <n v="0"/>
    <n v="0"/>
    <n v="0"/>
    <n v="0"/>
    <n v="0"/>
    <n v="0"/>
    <n v="0"/>
    <n v="0"/>
    <n v="0"/>
    <n v="0"/>
    <n v="0"/>
    <x v="2"/>
  </r>
  <r>
    <x v="0"/>
    <x v="11"/>
    <s v="Districts"/>
    <n v="0"/>
    <n v="0"/>
    <n v="0"/>
    <n v="0"/>
    <n v="0"/>
    <n v="0"/>
    <n v="0"/>
    <n v="0"/>
    <n v="0"/>
    <n v="0"/>
    <n v="0"/>
    <n v="0"/>
    <n v="0"/>
    <n v="0"/>
    <n v="0"/>
    <n v="0"/>
    <n v="0"/>
    <n v="0"/>
    <n v="0"/>
    <n v="0"/>
    <n v="0"/>
    <n v="0"/>
    <x v="2"/>
  </r>
  <r>
    <x v="0"/>
    <x v="11"/>
    <s v="Districts"/>
    <s v="National-level"/>
    <n v="0"/>
    <n v="0"/>
    <n v="0"/>
    <n v="0"/>
    <n v="0"/>
    <n v="0"/>
    <n v="0"/>
    <n v="0"/>
    <n v="0"/>
    <n v="0"/>
    <n v="0"/>
    <n v="0"/>
    <n v="0"/>
    <n v="0"/>
    <n v="0"/>
    <n v="0"/>
    <n v="0"/>
    <n v="0"/>
    <n v="0"/>
    <n v="0"/>
    <n v="0"/>
    <x v="2"/>
  </r>
  <r>
    <x v="0"/>
    <x v="12"/>
    <s v="Districts"/>
    <s v="Central"/>
    <n v="0"/>
    <n v="3333.333333333333"/>
    <n v="3333.333333333333"/>
    <n v="3333.333333333333"/>
    <n v="3333.333333333333"/>
    <n v="3333.333333333333"/>
    <n v="3333.333333333333"/>
    <n v="3333.333333333333"/>
    <n v="0"/>
    <n v="0"/>
    <n v="23333.333333333328"/>
    <n v="0"/>
    <n v="3333.333333333333"/>
    <n v="3333.333333333333"/>
    <n v="3333.333333333333"/>
    <n v="3333.333333333333"/>
    <n v="3333.333333333333"/>
    <n v="3333.333333333333"/>
    <n v="3333.333333333333"/>
    <n v="0"/>
    <n v="0"/>
    <x v="2"/>
  </r>
  <r>
    <x v="0"/>
    <x v="12"/>
    <s v="Districts"/>
    <s v="Copperbelt"/>
    <n v="0"/>
    <n v="5555.5555555555557"/>
    <n v="5555.5555555555557"/>
    <n v="5555.5555555555557"/>
    <n v="5555.5555555555557"/>
    <n v="5555.5555555555557"/>
    <n v="5555.5555555555557"/>
    <n v="5555.5555555555557"/>
    <n v="0"/>
    <n v="0"/>
    <n v="38888.888888888891"/>
    <n v="0"/>
    <n v="5555.5555555555557"/>
    <n v="5555.5555555555557"/>
    <n v="5555.5555555555557"/>
    <n v="5555.5555555555557"/>
    <n v="5555.5555555555557"/>
    <n v="5555.5555555555557"/>
    <n v="5555.5555555555557"/>
    <n v="0"/>
    <n v="0"/>
    <x v="2"/>
  </r>
  <r>
    <x v="0"/>
    <x v="12"/>
    <s v="Districts"/>
    <s v="Eastern"/>
    <n v="0"/>
    <n v="3888.8888888888891"/>
    <n v="3888.8888888888891"/>
    <n v="3888.8888888888891"/>
    <n v="3888.8888888888891"/>
    <n v="3888.8888888888891"/>
    <n v="3888.8888888888891"/>
    <n v="3888.8888888888891"/>
    <n v="0"/>
    <n v="0"/>
    <n v="27222.222222222226"/>
    <n v="0"/>
    <n v="3888.8888888888891"/>
    <n v="3888.8888888888891"/>
    <n v="3888.8888888888891"/>
    <n v="3888.8888888888891"/>
    <n v="3888.8888888888891"/>
    <n v="3888.8888888888891"/>
    <n v="3888.8888888888891"/>
    <n v="0"/>
    <n v="0"/>
    <x v="2"/>
  </r>
  <r>
    <x v="0"/>
    <x v="12"/>
    <s v="Districts"/>
    <s v="Luapula"/>
    <n v="0"/>
    <n v="3888.8888888888891"/>
    <n v="3888.8888888888891"/>
    <n v="3888.8888888888891"/>
    <n v="3888.8888888888891"/>
    <n v="3888.8888888888891"/>
    <n v="3888.8888888888891"/>
    <n v="3888.8888888888891"/>
    <n v="0"/>
    <n v="0"/>
    <n v="27222.222222222226"/>
    <n v="0"/>
    <n v="3888.8888888888891"/>
    <n v="3888.8888888888891"/>
    <n v="3888.8888888888891"/>
    <n v="3888.8888888888891"/>
    <n v="3888.8888888888891"/>
    <n v="3888.8888888888891"/>
    <n v="3888.8888888888891"/>
    <n v="0"/>
    <n v="0"/>
    <x v="2"/>
  </r>
  <r>
    <x v="0"/>
    <x v="12"/>
    <s v="Districts"/>
    <s v="Lusaka"/>
    <n v="0"/>
    <n v="2222.2222222222222"/>
    <n v="2222.2222222222222"/>
    <n v="2222.2222222222222"/>
    <n v="2222.2222222222222"/>
    <n v="2222.2222222222222"/>
    <n v="2222.2222222222222"/>
    <n v="2222.2222222222222"/>
    <n v="0"/>
    <n v="0"/>
    <n v="15555.555555555557"/>
    <n v="0"/>
    <n v="2222.2222222222222"/>
    <n v="2222.2222222222222"/>
    <n v="2222.2222222222222"/>
    <n v="2222.2222222222222"/>
    <n v="2222.2222222222222"/>
    <n v="2222.2222222222222"/>
    <n v="2222.2222222222222"/>
    <n v="0"/>
    <n v="0"/>
    <x v="2"/>
  </r>
  <r>
    <x v="0"/>
    <x v="12"/>
    <s v="Districts"/>
    <s v="Muchinga"/>
    <n v="0"/>
    <n v="2777.7777777777778"/>
    <n v="2777.7777777777778"/>
    <n v="2777.7777777777778"/>
    <n v="2777.7777777777778"/>
    <n v="2777.7777777777778"/>
    <n v="2777.7777777777778"/>
    <n v="2777.7777777777778"/>
    <n v="0"/>
    <n v="0"/>
    <n v="19444.444444444445"/>
    <n v="0"/>
    <n v="2777.7777777777778"/>
    <n v="2777.7777777777778"/>
    <n v="2777.7777777777778"/>
    <n v="2777.7777777777778"/>
    <n v="2777.7777777777778"/>
    <n v="2777.7777777777778"/>
    <n v="2777.7777777777778"/>
    <n v="0"/>
    <n v="0"/>
    <x v="2"/>
  </r>
  <r>
    <x v="0"/>
    <x v="12"/>
    <s v="Districts"/>
    <s v="Northern"/>
    <n v="0"/>
    <n v="4444.4444444444443"/>
    <n v="4444.4444444444443"/>
    <n v="4444.4444444444443"/>
    <n v="4444.4444444444443"/>
    <n v="4444.4444444444443"/>
    <n v="4444.4444444444443"/>
    <n v="4444.4444444444443"/>
    <n v="0"/>
    <n v="0"/>
    <n v="31111.111111111113"/>
    <n v="0"/>
    <n v="4444.4444444444443"/>
    <n v="4444.4444444444443"/>
    <n v="4444.4444444444443"/>
    <n v="4444.4444444444443"/>
    <n v="4444.4444444444443"/>
    <n v="4444.4444444444443"/>
    <n v="4444.4444444444443"/>
    <n v="0"/>
    <n v="0"/>
    <x v="2"/>
  </r>
  <r>
    <x v="0"/>
    <x v="12"/>
    <s v="Districts"/>
    <s v="North Western"/>
    <n v="0"/>
    <n v="3888.8888888888891"/>
    <n v="3888.8888888888891"/>
    <n v="3888.8888888888891"/>
    <n v="3888.8888888888891"/>
    <n v="3888.8888888888891"/>
    <n v="3888.8888888888891"/>
    <n v="3888.8888888888891"/>
    <n v="0"/>
    <n v="0"/>
    <n v="27222.222222222226"/>
    <n v="0"/>
    <n v="3888.8888888888891"/>
    <n v="3888.8888888888891"/>
    <n v="3888.8888888888891"/>
    <n v="3888.8888888888891"/>
    <n v="3888.8888888888891"/>
    <n v="3888.8888888888891"/>
    <n v="3888.8888888888891"/>
    <n v="0"/>
    <n v="0"/>
    <x v="2"/>
  </r>
  <r>
    <x v="0"/>
    <x v="12"/>
    <s v="Districts"/>
    <s v="Southern"/>
    <n v="0"/>
    <n v="6111.1111111111113"/>
    <n v="6111.1111111111113"/>
    <n v="6111.1111111111113"/>
    <n v="6111.1111111111113"/>
    <n v="6111.1111111111113"/>
    <n v="6111.1111111111113"/>
    <n v="6111.1111111111113"/>
    <n v="0"/>
    <n v="0"/>
    <n v="42777.777777777774"/>
    <n v="0"/>
    <n v="6111.1111111111113"/>
    <n v="6111.1111111111113"/>
    <n v="6111.1111111111113"/>
    <n v="6111.1111111111113"/>
    <n v="6111.1111111111113"/>
    <n v="6111.1111111111113"/>
    <n v="6111.1111111111113"/>
    <n v="0"/>
    <n v="0"/>
    <x v="2"/>
  </r>
  <r>
    <x v="0"/>
    <x v="12"/>
    <s v="Districts"/>
    <s v="Western"/>
    <n v="0"/>
    <n v="3888.8888888888891"/>
    <n v="3888.8888888888891"/>
    <n v="3888.8888888888891"/>
    <n v="3888.8888888888891"/>
    <n v="3888.8888888888891"/>
    <n v="3888.8888888888891"/>
    <n v="3888.8888888888891"/>
    <n v="0"/>
    <n v="0"/>
    <n v="27222.222222222226"/>
    <n v="0"/>
    <n v="3888.8888888888891"/>
    <n v="3888.8888888888891"/>
    <n v="3888.8888888888891"/>
    <n v="3888.8888888888891"/>
    <n v="3888.8888888888891"/>
    <n v="3888.8888888888891"/>
    <n v="3888.8888888888891"/>
    <n v="0"/>
    <n v="0"/>
    <x v="2"/>
  </r>
  <r>
    <x v="0"/>
    <x v="12"/>
    <s v="Districts"/>
    <n v="0"/>
    <n v="0"/>
    <n v="0"/>
    <n v="0"/>
    <n v="0"/>
    <n v="0"/>
    <n v="0"/>
    <n v="0"/>
    <n v="0"/>
    <n v="0"/>
    <n v="0"/>
    <n v="0"/>
    <n v="0"/>
    <n v="0"/>
    <n v="0"/>
    <n v="0"/>
    <n v="0"/>
    <n v="0"/>
    <n v="0"/>
    <n v="0"/>
    <n v="0"/>
    <n v="0"/>
    <x v="2"/>
  </r>
  <r>
    <x v="0"/>
    <x v="12"/>
    <s v="Districts"/>
    <n v="0"/>
    <n v="0"/>
    <n v="0"/>
    <n v="0"/>
    <n v="0"/>
    <n v="0"/>
    <n v="0"/>
    <n v="0"/>
    <n v="0"/>
    <n v="0"/>
    <n v="0"/>
    <n v="0"/>
    <n v="0"/>
    <n v="0"/>
    <n v="0"/>
    <n v="0"/>
    <n v="0"/>
    <n v="0"/>
    <n v="0"/>
    <n v="0"/>
    <n v="0"/>
    <n v="0"/>
    <x v="2"/>
  </r>
  <r>
    <x v="0"/>
    <x v="12"/>
    <s v="Districts"/>
    <n v="0"/>
    <n v="0"/>
    <n v="0"/>
    <n v="0"/>
    <n v="0"/>
    <n v="0"/>
    <n v="0"/>
    <n v="0"/>
    <n v="0"/>
    <n v="0"/>
    <n v="0"/>
    <n v="0"/>
    <n v="0"/>
    <n v="0"/>
    <n v="0"/>
    <n v="0"/>
    <n v="0"/>
    <n v="0"/>
    <n v="0"/>
    <n v="0"/>
    <n v="0"/>
    <n v="0"/>
    <x v="2"/>
  </r>
  <r>
    <x v="0"/>
    <x v="12"/>
    <s v="Districts"/>
    <n v="0"/>
    <n v="0"/>
    <n v="0"/>
    <n v="0"/>
    <n v="0"/>
    <n v="0"/>
    <n v="0"/>
    <n v="0"/>
    <n v="0"/>
    <n v="0"/>
    <n v="0"/>
    <n v="0"/>
    <n v="0"/>
    <n v="0"/>
    <n v="0"/>
    <n v="0"/>
    <n v="0"/>
    <n v="0"/>
    <n v="0"/>
    <n v="0"/>
    <n v="0"/>
    <n v="0"/>
    <x v="2"/>
  </r>
  <r>
    <x v="0"/>
    <x v="12"/>
    <s v="Districts"/>
    <n v="0"/>
    <n v="0"/>
    <n v="0"/>
    <n v="0"/>
    <n v="0"/>
    <n v="0"/>
    <n v="0"/>
    <n v="0"/>
    <n v="0"/>
    <n v="0"/>
    <n v="0"/>
    <n v="0"/>
    <n v="0"/>
    <n v="0"/>
    <n v="0"/>
    <n v="0"/>
    <n v="0"/>
    <n v="0"/>
    <n v="0"/>
    <n v="0"/>
    <n v="0"/>
    <n v="0"/>
    <x v="2"/>
  </r>
  <r>
    <x v="0"/>
    <x v="12"/>
    <s v="Districts"/>
    <s v="National-level"/>
    <n v="0"/>
    <n v="0"/>
    <n v="0"/>
    <n v="0"/>
    <n v="0"/>
    <n v="0"/>
    <n v="0"/>
    <n v="0"/>
    <n v="0"/>
    <n v="0"/>
    <n v="0"/>
    <n v="0"/>
    <n v="0"/>
    <n v="0"/>
    <n v="0"/>
    <n v="0"/>
    <n v="0"/>
    <n v="0"/>
    <n v="0"/>
    <n v="0"/>
    <n v="0"/>
    <x v="2"/>
  </r>
  <r>
    <x v="0"/>
    <x v="13"/>
    <s v="Central level"/>
    <s v="Central"/>
    <n v="0"/>
    <n v="0"/>
    <n v="0"/>
    <n v="0"/>
    <n v="0"/>
    <n v="0"/>
    <n v="0"/>
    <n v="0"/>
    <n v="0"/>
    <n v="0"/>
    <n v="0"/>
    <n v="0"/>
    <n v="0"/>
    <n v="0"/>
    <n v="0"/>
    <n v="0"/>
    <n v="0"/>
    <n v="0"/>
    <n v="0"/>
    <n v="0"/>
    <n v="0"/>
    <x v="2"/>
  </r>
  <r>
    <x v="0"/>
    <x v="13"/>
    <s v="Central level"/>
    <s v="Copperbelt"/>
    <n v="0"/>
    <n v="0"/>
    <n v="0"/>
    <n v="0"/>
    <n v="0"/>
    <n v="0"/>
    <n v="0"/>
    <n v="0"/>
    <n v="0"/>
    <n v="0"/>
    <n v="0"/>
    <n v="0"/>
    <n v="0"/>
    <n v="0"/>
    <n v="0"/>
    <n v="0"/>
    <n v="0"/>
    <n v="0"/>
    <n v="0"/>
    <n v="0"/>
    <n v="0"/>
    <x v="2"/>
  </r>
  <r>
    <x v="0"/>
    <x v="13"/>
    <s v="Central level"/>
    <s v="Eastern"/>
    <n v="0"/>
    <n v="0"/>
    <n v="0"/>
    <n v="0"/>
    <n v="0"/>
    <n v="0"/>
    <n v="0"/>
    <n v="0"/>
    <n v="0"/>
    <n v="0"/>
    <n v="0"/>
    <n v="0"/>
    <n v="0"/>
    <n v="0"/>
    <n v="0"/>
    <n v="0"/>
    <n v="0"/>
    <n v="0"/>
    <n v="0"/>
    <n v="0"/>
    <n v="0"/>
    <x v="2"/>
  </r>
  <r>
    <x v="0"/>
    <x v="13"/>
    <s v="Central level"/>
    <s v="Luapula"/>
    <n v="0"/>
    <n v="0"/>
    <n v="0"/>
    <n v="0"/>
    <n v="0"/>
    <n v="0"/>
    <n v="0"/>
    <n v="0"/>
    <n v="0"/>
    <n v="0"/>
    <n v="0"/>
    <n v="0"/>
    <n v="0"/>
    <n v="0"/>
    <n v="0"/>
    <n v="0"/>
    <n v="0"/>
    <n v="0"/>
    <n v="0"/>
    <n v="0"/>
    <n v="0"/>
    <x v="2"/>
  </r>
  <r>
    <x v="0"/>
    <x v="13"/>
    <s v="Central level"/>
    <s v="Lusaka"/>
    <n v="0"/>
    <n v="0"/>
    <n v="0"/>
    <n v="0"/>
    <n v="0"/>
    <n v="0"/>
    <n v="0"/>
    <n v="0"/>
    <n v="0"/>
    <n v="0"/>
    <n v="0"/>
    <n v="0"/>
    <n v="0"/>
    <n v="0"/>
    <n v="0"/>
    <n v="0"/>
    <n v="0"/>
    <n v="0"/>
    <n v="0"/>
    <n v="0"/>
    <n v="0"/>
    <x v="2"/>
  </r>
  <r>
    <x v="0"/>
    <x v="13"/>
    <s v="Central level"/>
    <s v="Muchinga"/>
    <n v="0"/>
    <n v="0"/>
    <n v="0"/>
    <n v="0"/>
    <n v="0"/>
    <n v="0"/>
    <n v="0"/>
    <n v="0"/>
    <n v="0"/>
    <n v="0"/>
    <n v="0"/>
    <n v="0"/>
    <n v="0"/>
    <n v="0"/>
    <n v="0"/>
    <n v="0"/>
    <n v="0"/>
    <n v="0"/>
    <n v="0"/>
    <n v="0"/>
    <n v="0"/>
    <x v="2"/>
  </r>
  <r>
    <x v="0"/>
    <x v="13"/>
    <s v="Central level"/>
    <s v="Northern"/>
    <n v="0"/>
    <n v="0"/>
    <n v="0"/>
    <n v="0"/>
    <n v="0"/>
    <n v="0"/>
    <n v="0"/>
    <n v="0"/>
    <n v="0"/>
    <n v="0"/>
    <n v="0"/>
    <n v="0"/>
    <n v="0"/>
    <n v="0"/>
    <n v="0"/>
    <n v="0"/>
    <n v="0"/>
    <n v="0"/>
    <n v="0"/>
    <n v="0"/>
    <n v="0"/>
    <x v="2"/>
  </r>
  <r>
    <x v="0"/>
    <x v="13"/>
    <s v="Central level"/>
    <s v="North Western"/>
    <n v="0"/>
    <n v="0"/>
    <n v="0"/>
    <n v="0"/>
    <n v="0"/>
    <n v="0"/>
    <n v="0"/>
    <n v="0"/>
    <n v="0"/>
    <n v="0"/>
    <n v="0"/>
    <n v="0"/>
    <n v="0"/>
    <n v="0"/>
    <n v="0"/>
    <n v="0"/>
    <n v="0"/>
    <n v="0"/>
    <n v="0"/>
    <n v="0"/>
    <n v="0"/>
    <x v="2"/>
  </r>
  <r>
    <x v="0"/>
    <x v="13"/>
    <s v="Central level"/>
    <s v="Southern"/>
    <n v="0"/>
    <n v="0"/>
    <n v="0"/>
    <n v="0"/>
    <n v="0"/>
    <n v="0"/>
    <n v="0"/>
    <n v="0"/>
    <n v="0"/>
    <n v="0"/>
    <n v="0"/>
    <n v="0"/>
    <n v="0"/>
    <n v="0"/>
    <n v="0"/>
    <n v="0"/>
    <n v="0"/>
    <n v="0"/>
    <n v="0"/>
    <n v="0"/>
    <n v="0"/>
    <x v="2"/>
  </r>
  <r>
    <x v="0"/>
    <x v="13"/>
    <s v="Central level"/>
    <s v="Western"/>
    <n v="0"/>
    <n v="0"/>
    <n v="0"/>
    <n v="0"/>
    <n v="0"/>
    <n v="0"/>
    <n v="0"/>
    <n v="0"/>
    <n v="0"/>
    <n v="0"/>
    <n v="0"/>
    <n v="0"/>
    <n v="0"/>
    <n v="0"/>
    <n v="0"/>
    <n v="0"/>
    <n v="0"/>
    <n v="0"/>
    <n v="0"/>
    <n v="0"/>
    <n v="0"/>
    <x v="2"/>
  </r>
  <r>
    <x v="0"/>
    <x v="13"/>
    <s v="Central level"/>
    <n v="0"/>
    <n v="0"/>
    <n v="0"/>
    <n v="0"/>
    <n v="0"/>
    <n v="0"/>
    <n v="0"/>
    <n v="0"/>
    <n v="0"/>
    <n v="0"/>
    <n v="0"/>
    <n v="0"/>
    <n v="0"/>
    <n v="0"/>
    <n v="0"/>
    <n v="0"/>
    <n v="0"/>
    <n v="0"/>
    <n v="0"/>
    <n v="0"/>
    <n v="0"/>
    <n v="0"/>
    <x v="2"/>
  </r>
  <r>
    <x v="0"/>
    <x v="13"/>
    <s v="Central level"/>
    <n v="0"/>
    <n v="0"/>
    <n v="0"/>
    <n v="0"/>
    <n v="0"/>
    <n v="0"/>
    <n v="0"/>
    <n v="0"/>
    <n v="0"/>
    <n v="0"/>
    <n v="0"/>
    <n v="0"/>
    <n v="0"/>
    <n v="0"/>
    <n v="0"/>
    <n v="0"/>
    <n v="0"/>
    <n v="0"/>
    <n v="0"/>
    <n v="0"/>
    <n v="0"/>
    <n v="0"/>
    <x v="2"/>
  </r>
  <r>
    <x v="0"/>
    <x v="13"/>
    <s v="Central level"/>
    <n v="0"/>
    <n v="0"/>
    <n v="0"/>
    <n v="0"/>
    <n v="0"/>
    <n v="0"/>
    <n v="0"/>
    <n v="0"/>
    <n v="0"/>
    <n v="0"/>
    <n v="0"/>
    <n v="0"/>
    <n v="0"/>
    <n v="0"/>
    <n v="0"/>
    <n v="0"/>
    <n v="0"/>
    <n v="0"/>
    <n v="0"/>
    <n v="0"/>
    <n v="0"/>
    <n v="0"/>
    <x v="2"/>
  </r>
  <r>
    <x v="0"/>
    <x v="13"/>
    <s v="Central level"/>
    <n v="0"/>
    <n v="0"/>
    <n v="0"/>
    <n v="0"/>
    <n v="0"/>
    <n v="0"/>
    <n v="0"/>
    <n v="0"/>
    <n v="0"/>
    <n v="0"/>
    <n v="0"/>
    <n v="0"/>
    <n v="0"/>
    <n v="0"/>
    <n v="0"/>
    <n v="0"/>
    <n v="0"/>
    <n v="0"/>
    <n v="0"/>
    <n v="0"/>
    <n v="0"/>
    <n v="0"/>
    <x v="2"/>
  </r>
  <r>
    <x v="0"/>
    <x v="13"/>
    <s v="Central level"/>
    <n v="0"/>
    <n v="0"/>
    <n v="0"/>
    <n v="0"/>
    <n v="0"/>
    <n v="0"/>
    <n v="0"/>
    <n v="0"/>
    <n v="0"/>
    <n v="0"/>
    <n v="0"/>
    <n v="0"/>
    <n v="0"/>
    <n v="0"/>
    <n v="0"/>
    <n v="0"/>
    <n v="0"/>
    <n v="0"/>
    <n v="0"/>
    <n v="0"/>
    <n v="0"/>
    <n v="0"/>
    <x v="2"/>
  </r>
  <r>
    <x v="0"/>
    <x v="13"/>
    <s v="Central level"/>
    <s v="National-level"/>
    <n v="0"/>
    <n v="265428.19199999998"/>
    <n v="265428.19199999998"/>
    <n v="265428.19199999998"/>
    <n v="0"/>
    <n v="0"/>
    <n v="0"/>
    <n v="0"/>
    <n v="0"/>
    <n v="0"/>
    <n v="796284.57599999988"/>
    <n v="0"/>
    <n v="265428.19199999998"/>
    <n v="265428.19199999998"/>
    <n v="265428.19199999998"/>
    <n v="0"/>
    <n v="0"/>
    <n v="0"/>
    <n v="0"/>
    <n v="0"/>
    <n v="0"/>
    <x v="2"/>
  </r>
  <r>
    <x v="0"/>
    <x v="14"/>
    <s v="Central level"/>
    <s v="Central"/>
    <n v="0"/>
    <n v="0"/>
    <n v="0"/>
    <n v="0"/>
    <n v="0"/>
    <n v="0"/>
    <n v="0"/>
    <n v="0"/>
    <n v="0"/>
    <n v="0"/>
    <n v="0"/>
    <n v="0"/>
    <n v="0"/>
    <n v="0"/>
    <n v="0"/>
    <n v="0"/>
    <n v="0"/>
    <n v="0"/>
    <n v="0"/>
    <n v="0"/>
    <n v="0"/>
    <x v="2"/>
  </r>
  <r>
    <x v="0"/>
    <x v="14"/>
    <s v="Central level"/>
    <s v="Copperbelt"/>
    <n v="0"/>
    <n v="0"/>
    <n v="0"/>
    <n v="0"/>
    <n v="0"/>
    <n v="0"/>
    <n v="0"/>
    <n v="0"/>
    <n v="0"/>
    <n v="0"/>
    <n v="0"/>
    <n v="0"/>
    <n v="0"/>
    <n v="0"/>
    <n v="0"/>
    <n v="0"/>
    <n v="0"/>
    <n v="0"/>
    <n v="0"/>
    <n v="0"/>
    <n v="0"/>
    <x v="2"/>
  </r>
  <r>
    <x v="0"/>
    <x v="14"/>
    <s v="Central level"/>
    <s v="Eastern"/>
    <n v="0"/>
    <n v="0"/>
    <n v="0"/>
    <n v="0"/>
    <n v="0"/>
    <n v="0"/>
    <n v="0"/>
    <n v="0"/>
    <n v="0"/>
    <n v="0"/>
    <n v="0"/>
    <n v="0"/>
    <n v="0"/>
    <n v="0"/>
    <n v="0"/>
    <n v="0"/>
    <n v="0"/>
    <n v="0"/>
    <n v="0"/>
    <n v="0"/>
    <n v="0"/>
    <x v="2"/>
  </r>
  <r>
    <x v="0"/>
    <x v="14"/>
    <s v="Central level"/>
    <s v="Luapula"/>
    <n v="0"/>
    <n v="0"/>
    <n v="0"/>
    <n v="0"/>
    <n v="0"/>
    <n v="0"/>
    <n v="0"/>
    <n v="0"/>
    <n v="0"/>
    <n v="0"/>
    <n v="0"/>
    <n v="0"/>
    <n v="0"/>
    <n v="0"/>
    <n v="0"/>
    <n v="0"/>
    <n v="0"/>
    <n v="0"/>
    <n v="0"/>
    <n v="0"/>
    <n v="0"/>
    <x v="2"/>
  </r>
  <r>
    <x v="0"/>
    <x v="14"/>
    <s v="Central level"/>
    <s v="Lusaka"/>
    <n v="0"/>
    <n v="0"/>
    <n v="0"/>
    <n v="0"/>
    <n v="0"/>
    <n v="0"/>
    <n v="0"/>
    <n v="0"/>
    <n v="0"/>
    <n v="0"/>
    <n v="0"/>
    <n v="0"/>
    <n v="0"/>
    <n v="0"/>
    <n v="0"/>
    <n v="0"/>
    <n v="0"/>
    <n v="0"/>
    <n v="0"/>
    <n v="0"/>
    <n v="0"/>
    <x v="2"/>
  </r>
  <r>
    <x v="0"/>
    <x v="14"/>
    <s v="Central level"/>
    <s v="Muchinga"/>
    <n v="0"/>
    <n v="0"/>
    <n v="0"/>
    <n v="0"/>
    <n v="0"/>
    <n v="0"/>
    <n v="0"/>
    <n v="0"/>
    <n v="0"/>
    <n v="0"/>
    <n v="0"/>
    <n v="0"/>
    <n v="0"/>
    <n v="0"/>
    <n v="0"/>
    <n v="0"/>
    <n v="0"/>
    <n v="0"/>
    <n v="0"/>
    <n v="0"/>
    <n v="0"/>
    <x v="2"/>
  </r>
  <r>
    <x v="0"/>
    <x v="14"/>
    <s v="Central level"/>
    <s v="Northern"/>
    <n v="0"/>
    <n v="0"/>
    <n v="0"/>
    <n v="0"/>
    <n v="0"/>
    <n v="0"/>
    <n v="0"/>
    <n v="0"/>
    <n v="0"/>
    <n v="0"/>
    <n v="0"/>
    <n v="0"/>
    <n v="0"/>
    <n v="0"/>
    <n v="0"/>
    <n v="0"/>
    <n v="0"/>
    <n v="0"/>
    <n v="0"/>
    <n v="0"/>
    <n v="0"/>
    <x v="2"/>
  </r>
  <r>
    <x v="0"/>
    <x v="14"/>
    <s v="Central level"/>
    <s v="North Western"/>
    <n v="0"/>
    <n v="0"/>
    <n v="0"/>
    <n v="0"/>
    <n v="0"/>
    <n v="0"/>
    <n v="0"/>
    <n v="0"/>
    <n v="0"/>
    <n v="0"/>
    <n v="0"/>
    <n v="0"/>
    <n v="0"/>
    <n v="0"/>
    <n v="0"/>
    <n v="0"/>
    <n v="0"/>
    <n v="0"/>
    <n v="0"/>
    <n v="0"/>
    <n v="0"/>
    <x v="2"/>
  </r>
  <r>
    <x v="0"/>
    <x v="14"/>
    <s v="Central level"/>
    <s v="Southern"/>
    <n v="0"/>
    <n v="0"/>
    <n v="0"/>
    <n v="0"/>
    <n v="0"/>
    <n v="0"/>
    <n v="0"/>
    <n v="0"/>
    <n v="0"/>
    <n v="0"/>
    <n v="0"/>
    <n v="0"/>
    <n v="0"/>
    <n v="0"/>
    <n v="0"/>
    <n v="0"/>
    <n v="0"/>
    <n v="0"/>
    <n v="0"/>
    <n v="0"/>
    <n v="0"/>
    <x v="2"/>
  </r>
  <r>
    <x v="0"/>
    <x v="14"/>
    <s v="Central level"/>
    <s v="Western"/>
    <n v="0"/>
    <n v="0"/>
    <n v="0"/>
    <n v="0"/>
    <n v="0"/>
    <n v="0"/>
    <n v="0"/>
    <n v="0"/>
    <n v="0"/>
    <n v="0"/>
    <n v="0"/>
    <n v="0"/>
    <n v="0"/>
    <n v="0"/>
    <n v="0"/>
    <n v="0"/>
    <n v="0"/>
    <n v="0"/>
    <n v="0"/>
    <n v="0"/>
    <n v="0"/>
    <x v="2"/>
  </r>
  <r>
    <x v="0"/>
    <x v="14"/>
    <s v="Central level"/>
    <n v="0"/>
    <n v="0"/>
    <n v="0"/>
    <n v="0"/>
    <n v="0"/>
    <n v="0"/>
    <n v="0"/>
    <n v="0"/>
    <n v="0"/>
    <n v="0"/>
    <n v="0"/>
    <n v="0"/>
    <n v="0"/>
    <n v="0"/>
    <n v="0"/>
    <n v="0"/>
    <n v="0"/>
    <n v="0"/>
    <n v="0"/>
    <n v="0"/>
    <n v="0"/>
    <n v="0"/>
    <x v="2"/>
  </r>
  <r>
    <x v="0"/>
    <x v="14"/>
    <s v="Central level"/>
    <n v="0"/>
    <n v="0"/>
    <n v="0"/>
    <n v="0"/>
    <n v="0"/>
    <n v="0"/>
    <n v="0"/>
    <n v="0"/>
    <n v="0"/>
    <n v="0"/>
    <n v="0"/>
    <n v="0"/>
    <n v="0"/>
    <n v="0"/>
    <n v="0"/>
    <n v="0"/>
    <n v="0"/>
    <n v="0"/>
    <n v="0"/>
    <n v="0"/>
    <n v="0"/>
    <n v="0"/>
    <x v="2"/>
  </r>
  <r>
    <x v="0"/>
    <x v="14"/>
    <s v="Central level"/>
    <n v="0"/>
    <n v="0"/>
    <n v="0"/>
    <n v="0"/>
    <n v="0"/>
    <n v="0"/>
    <n v="0"/>
    <n v="0"/>
    <n v="0"/>
    <n v="0"/>
    <n v="0"/>
    <n v="0"/>
    <n v="0"/>
    <n v="0"/>
    <n v="0"/>
    <n v="0"/>
    <n v="0"/>
    <n v="0"/>
    <n v="0"/>
    <n v="0"/>
    <n v="0"/>
    <n v="0"/>
    <x v="2"/>
  </r>
  <r>
    <x v="0"/>
    <x v="14"/>
    <s v="Central level"/>
    <n v="0"/>
    <n v="0"/>
    <n v="0"/>
    <n v="0"/>
    <n v="0"/>
    <n v="0"/>
    <n v="0"/>
    <n v="0"/>
    <n v="0"/>
    <n v="0"/>
    <n v="0"/>
    <n v="0"/>
    <n v="0"/>
    <n v="0"/>
    <n v="0"/>
    <n v="0"/>
    <n v="0"/>
    <n v="0"/>
    <n v="0"/>
    <n v="0"/>
    <n v="0"/>
    <n v="0"/>
    <x v="2"/>
  </r>
  <r>
    <x v="0"/>
    <x v="14"/>
    <s v="Central level"/>
    <n v="0"/>
    <n v="0"/>
    <n v="0"/>
    <n v="0"/>
    <n v="0"/>
    <n v="0"/>
    <n v="0"/>
    <n v="0"/>
    <n v="0"/>
    <n v="0"/>
    <n v="0"/>
    <n v="0"/>
    <n v="0"/>
    <n v="0"/>
    <n v="0"/>
    <n v="0"/>
    <n v="0"/>
    <n v="0"/>
    <n v="0"/>
    <n v="0"/>
    <n v="0"/>
    <n v="0"/>
    <x v="2"/>
  </r>
  <r>
    <x v="0"/>
    <x v="14"/>
    <s v="Central level"/>
    <s v="National-level"/>
    <n v="0"/>
    <n v="28677.576000000001"/>
    <n v="0"/>
    <n v="0"/>
    <n v="0"/>
    <n v="0"/>
    <n v="0"/>
    <n v="0"/>
    <n v="0"/>
    <n v="0"/>
    <n v="28677.576000000001"/>
    <n v="0"/>
    <n v="28677.576000000001"/>
    <n v="0"/>
    <n v="0"/>
    <n v="0"/>
    <n v="0"/>
    <n v="0"/>
    <n v="0"/>
    <n v="0"/>
    <n v="0"/>
    <x v="2"/>
  </r>
  <r>
    <x v="0"/>
    <x v="15"/>
    <s v="Central level"/>
    <s v="Central"/>
    <n v="0"/>
    <n v="0"/>
    <n v="0"/>
    <n v="0"/>
    <n v="0"/>
    <n v="0"/>
    <n v="0"/>
    <n v="0"/>
    <n v="0"/>
    <n v="0"/>
    <n v="0"/>
    <n v="0"/>
    <n v="0"/>
    <n v="0"/>
    <n v="0"/>
    <n v="0"/>
    <n v="0"/>
    <n v="0"/>
    <n v="0"/>
    <n v="0"/>
    <n v="0"/>
    <x v="2"/>
  </r>
  <r>
    <x v="0"/>
    <x v="15"/>
    <s v="Central level"/>
    <s v="Copperbelt"/>
    <n v="0"/>
    <n v="0"/>
    <n v="0"/>
    <n v="0"/>
    <n v="0"/>
    <n v="0"/>
    <n v="0"/>
    <n v="0"/>
    <n v="0"/>
    <n v="0"/>
    <n v="0"/>
    <n v="0"/>
    <n v="0"/>
    <n v="0"/>
    <n v="0"/>
    <n v="0"/>
    <n v="0"/>
    <n v="0"/>
    <n v="0"/>
    <n v="0"/>
    <n v="0"/>
    <x v="2"/>
  </r>
  <r>
    <x v="0"/>
    <x v="15"/>
    <s v="Central level"/>
    <s v="Eastern"/>
    <n v="0"/>
    <n v="0"/>
    <n v="0"/>
    <n v="0"/>
    <n v="0"/>
    <n v="0"/>
    <n v="0"/>
    <n v="0"/>
    <n v="0"/>
    <n v="0"/>
    <n v="0"/>
    <n v="0"/>
    <n v="0"/>
    <n v="0"/>
    <n v="0"/>
    <n v="0"/>
    <n v="0"/>
    <n v="0"/>
    <n v="0"/>
    <n v="0"/>
    <n v="0"/>
    <x v="2"/>
  </r>
  <r>
    <x v="0"/>
    <x v="15"/>
    <s v="Central level"/>
    <s v="Luapula"/>
    <n v="0"/>
    <n v="0"/>
    <n v="0"/>
    <n v="0"/>
    <n v="0"/>
    <n v="0"/>
    <n v="0"/>
    <n v="0"/>
    <n v="0"/>
    <n v="0"/>
    <n v="0"/>
    <n v="0"/>
    <n v="0"/>
    <n v="0"/>
    <n v="0"/>
    <n v="0"/>
    <n v="0"/>
    <n v="0"/>
    <n v="0"/>
    <n v="0"/>
    <n v="0"/>
    <x v="2"/>
  </r>
  <r>
    <x v="0"/>
    <x v="15"/>
    <s v="Central level"/>
    <s v="Lusaka"/>
    <n v="0"/>
    <n v="0"/>
    <n v="0"/>
    <n v="0"/>
    <n v="0"/>
    <n v="0"/>
    <n v="0"/>
    <n v="0"/>
    <n v="0"/>
    <n v="0"/>
    <n v="0"/>
    <n v="0"/>
    <n v="0"/>
    <n v="0"/>
    <n v="0"/>
    <n v="0"/>
    <n v="0"/>
    <n v="0"/>
    <n v="0"/>
    <n v="0"/>
    <n v="0"/>
    <x v="2"/>
  </r>
  <r>
    <x v="0"/>
    <x v="15"/>
    <s v="Central level"/>
    <s v="Muchinga"/>
    <n v="0"/>
    <n v="0"/>
    <n v="0"/>
    <n v="0"/>
    <n v="0"/>
    <n v="0"/>
    <n v="0"/>
    <n v="0"/>
    <n v="0"/>
    <n v="0"/>
    <n v="0"/>
    <n v="0"/>
    <n v="0"/>
    <n v="0"/>
    <n v="0"/>
    <n v="0"/>
    <n v="0"/>
    <n v="0"/>
    <n v="0"/>
    <n v="0"/>
    <n v="0"/>
    <x v="2"/>
  </r>
  <r>
    <x v="0"/>
    <x v="15"/>
    <s v="Central level"/>
    <s v="Northern"/>
    <n v="0"/>
    <n v="0"/>
    <n v="0"/>
    <n v="0"/>
    <n v="0"/>
    <n v="0"/>
    <n v="0"/>
    <n v="0"/>
    <n v="0"/>
    <n v="0"/>
    <n v="0"/>
    <n v="0"/>
    <n v="0"/>
    <n v="0"/>
    <n v="0"/>
    <n v="0"/>
    <n v="0"/>
    <n v="0"/>
    <n v="0"/>
    <n v="0"/>
    <n v="0"/>
    <x v="2"/>
  </r>
  <r>
    <x v="0"/>
    <x v="15"/>
    <s v="Central level"/>
    <s v="North Western"/>
    <n v="0"/>
    <n v="0"/>
    <n v="0"/>
    <n v="0"/>
    <n v="0"/>
    <n v="0"/>
    <n v="0"/>
    <n v="0"/>
    <n v="0"/>
    <n v="0"/>
    <n v="0"/>
    <n v="0"/>
    <n v="0"/>
    <n v="0"/>
    <n v="0"/>
    <n v="0"/>
    <n v="0"/>
    <n v="0"/>
    <n v="0"/>
    <n v="0"/>
    <n v="0"/>
    <x v="2"/>
  </r>
  <r>
    <x v="0"/>
    <x v="15"/>
    <s v="Central level"/>
    <s v="Southern"/>
    <n v="0"/>
    <n v="0"/>
    <n v="0"/>
    <n v="0"/>
    <n v="0"/>
    <n v="0"/>
    <n v="0"/>
    <n v="0"/>
    <n v="0"/>
    <n v="0"/>
    <n v="0"/>
    <n v="0"/>
    <n v="0"/>
    <n v="0"/>
    <n v="0"/>
    <n v="0"/>
    <n v="0"/>
    <n v="0"/>
    <n v="0"/>
    <n v="0"/>
    <n v="0"/>
    <x v="2"/>
  </r>
  <r>
    <x v="0"/>
    <x v="15"/>
    <s v="Central level"/>
    <s v="Western"/>
    <n v="0"/>
    <n v="0"/>
    <n v="0"/>
    <n v="0"/>
    <n v="0"/>
    <n v="0"/>
    <n v="0"/>
    <n v="0"/>
    <n v="0"/>
    <n v="0"/>
    <n v="0"/>
    <n v="0"/>
    <n v="0"/>
    <n v="0"/>
    <n v="0"/>
    <n v="0"/>
    <n v="0"/>
    <n v="0"/>
    <n v="0"/>
    <n v="0"/>
    <n v="0"/>
    <x v="2"/>
  </r>
  <r>
    <x v="0"/>
    <x v="15"/>
    <s v="Central level"/>
    <n v="0"/>
    <n v="0"/>
    <n v="0"/>
    <n v="0"/>
    <n v="0"/>
    <n v="0"/>
    <n v="0"/>
    <n v="0"/>
    <n v="0"/>
    <n v="0"/>
    <n v="0"/>
    <n v="0"/>
    <n v="0"/>
    <n v="0"/>
    <n v="0"/>
    <n v="0"/>
    <n v="0"/>
    <n v="0"/>
    <n v="0"/>
    <n v="0"/>
    <n v="0"/>
    <n v="0"/>
    <x v="2"/>
  </r>
  <r>
    <x v="0"/>
    <x v="15"/>
    <s v="Central level"/>
    <n v="0"/>
    <n v="0"/>
    <n v="0"/>
    <n v="0"/>
    <n v="0"/>
    <n v="0"/>
    <n v="0"/>
    <n v="0"/>
    <n v="0"/>
    <n v="0"/>
    <n v="0"/>
    <n v="0"/>
    <n v="0"/>
    <n v="0"/>
    <n v="0"/>
    <n v="0"/>
    <n v="0"/>
    <n v="0"/>
    <n v="0"/>
    <n v="0"/>
    <n v="0"/>
    <n v="0"/>
    <x v="2"/>
  </r>
  <r>
    <x v="0"/>
    <x v="15"/>
    <s v="Central level"/>
    <n v="0"/>
    <n v="0"/>
    <n v="0"/>
    <n v="0"/>
    <n v="0"/>
    <n v="0"/>
    <n v="0"/>
    <n v="0"/>
    <n v="0"/>
    <n v="0"/>
    <n v="0"/>
    <n v="0"/>
    <n v="0"/>
    <n v="0"/>
    <n v="0"/>
    <n v="0"/>
    <n v="0"/>
    <n v="0"/>
    <n v="0"/>
    <n v="0"/>
    <n v="0"/>
    <n v="0"/>
    <x v="2"/>
  </r>
  <r>
    <x v="0"/>
    <x v="15"/>
    <s v="Central level"/>
    <n v="0"/>
    <n v="0"/>
    <n v="0"/>
    <n v="0"/>
    <n v="0"/>
    <n v="0"/>
    <n v="0"/>
    <n v="0"/>
    <n v="0"/>
    <n v="0"/>
    <n v="0"/>
    <n v="0"/>
    <n v="0"/>
    <n v="0"/>
    <n v="0"/>
    <n v="0"/>
    <n v="0"/>
    <n v="0"/>
    <n v="0"/>
    <n v="0"/>
    <n v="0"/>
    <n v="0"/>
    <x v="2"/>
  </r>
  <r>
    <x v="0"/>
    <x v="15"/>
    <s v="Central level"/>
    <n v="0"/>
    <n v="0"/>
    <n v="0"/>
    <n v="0"/>
    <n v="0"/>
    <n v="0"/>
    <n v="0"/>
    <n v="0"/>
    <n v="0"/>
    <n v="0"/>
    <n v="0"/>
    <n v="0"/>
    <n v="0"/>
    <n v="0"/>
    <n v="0"/>
    <n v="0"/>
    <n v="0"/>
    <n v="0"/>
    <n v="0"/>
    <n v="0"/>
    <n v="0"/>
    <n v="0"/>
    <x v="2"/>
  </r>
  <r>
    <x v="0"/>
    <x v="15"/>
    <s v="Central level"/>
    <s v="National-level"/>
    <n v="44460.303999999996"/>
    <n v="44460.303999999996"/>
    <n v="44460.303999999996"/>
    <n v="44460.303999999996"/>
    <n v="44460.303999999996"/>
    <n v="44460.303999999996"/>
    <n v="44460.303999999996"/>
    <n v="44460.303999999996"/>
    <n v="0"/>
    <n v="0"/>
    <n v="355682.43199999997"/>
    <n v="44460.303999999996"/>
    <n v="44460.303999999996"/>
    <n v="44460.303999999996"/>
    <n v="44460.303999999996"/>
    <n v="44460.303999999996"/>
    <n v="44460.303999999996"/>
    <n v="44460.303999999996"/>
    <n v="44460.303999999996"/>
    <n v="0"/>
    <n v="0"/>
    <x v="2"/>
  </r>
  <r>
    <x v="1"/>
    <x v="16"/>
    <s v="Central level"/>
    <s v="Central"/>
    <n v="0"/>
    <n v="0"/>
    <n v="0"/>
    <n v="0"/>
    <n v="0"/>
    <n v="0"/>
    <n v="0"/>
    <n v="0"/>
    <n v="0"/>
    <n v="0"/>
    <n v="0"/>
    <n v="0"/>
    <n v="0"/>
    <n v="0"/>
    <n v="0"/>
    <n v="0"/>
    <n v="0"/>
    <n v="0"/>
    <n v="0"/>
    <n v="0"/>
    <n v="0"/>
    <x v="3"/>
  </r>
  <r>
    <x v="1"/>
    <x v="16"/>
    <s v="Central level"/>
    <s v="Copperbelt"/>
    <n v="0"/>
    <n v="0"/>
    <n v="0"/>
    <n v="0"/>
    <n v="0"/>
    <n v="0"/>
    <n v="0"/>
    <n v="0"/>
    <n v="0"/>
    <n v="0"/>
    <n v="0"/>
    <n v="0"/>
    <n v="0"/>
    <n v="0"/>
    <n v="0"/>
    <n v="0"/>
    <n v="0"/>
    <n v="0"/>
    <n v="0"/>
    <n v="0"/>
    <n v="0"/>
    <x v="3"/>
  </r>
  <r>
    <x v="1"/>
    <x v="16"/>
    <s v="Central level"/>
    <s v="Eastern"/>
    <n v="0"/>
    <n v="0"/>
    <n v="0"/>
    <n v="0"/>
    <n v="0"/>
    <n v="0"/>
    <n v="0"/>
    <n v="0"/>
    <n v="0"/>
    <n v="0"/>
    <n v="0"/>
    <n v="0"/>
    <n v="0"/>
    <n v="0"/>
    <n v="0"/>
    <n v="0"/>
    <n v="0"/>
    <n v="0"/>
    <n v="0"/>
    <n v="0"/>
    <n v="0"/>
    <x v="3"/>
  </r>
  <r>
    <x v="1"/>
    <x v="16"/>
    <s v="Central level"/>
    <s v="Luapula"/>
    <n v="0"/>
    <n v="0"/>
    <n v="0"/>
    <n v="0"/>
    <n v="0"/>
    <n v="0"/>
    <n v="0"/>
    <n v="0"/>
    <n v="0"/>
    <n v="0"/>
    <n v="0"/>
    <n v="0"/>
    <n v="0"/>
    <n v="0"/>
    <n v="0"/>
    <n v="0"/>
    <n v="0"/>
    <n v="0"/>
    <n v="0"/>
    <n v="0"/>
    <n v="0"/>
    <x v="3"/>
  </r>
  <r>
    <x v="1"/>
    <x v="16"/>
    <s v="Central level"/>
    <s v="Lusaka"/>
    <n v="0"/>
    <n v="0"/>
    <n v="0"/>
    <n v="0"/>
    <n v="0"/>
    <n v="0"/>
    <n v="0"/>
    <n v="0"/>
    <n v="0"/>
    <n v="0"/>
    <n v="0"/>
    <n v="0"/>
    <n v="0"/>
    <n v="0"/>
    <n v="0"/>
    <n v="0"/>
    <n v="0"/>
    <n v="0"/>
    <n v="0"/>
    <n v="0"/>
    <n v="0"/>
    <x v="3"/>
  </r>
  <r>
    <x v="1"/>
    <x v="16"/>
    <s v="Central level"/>
    <s v="Muchinga"/>
    <n v="0"/>
    <n v="0"/>
    <n v="0"/>
    <n v="0"/>
    <n v="0"/>
    <n v="0"/>
    <n v="0"/>
    <n v="0"/>
    <n v="0"/>
    <n v="0"/>
    <n v="0"/>
    <n v="0"/>
    <n v="0"/>
    <n v="0"/>
    <n v="0"/>
    <n v="0"/>
    <n v="0"/>
    <n v="0"/>
    <n v="0"/>
    <n v="0"/>
    <n v="0"/>
    <x v="3"/>
  </r>
  <r>
    <x v="1"/>
    <x v="16"/>
    <s v="Central level"/>
    <s v="Northern"/>
    <n v="0"/>
    <n v="0"/>
    <n v="0"/>
    <n v="0"/>
    <n v="0"/>
    <n v="0"/>
    <n v="0"/>
    <n v="0"/>
    <n v="0"/>
    <n v="0"/>
    <n v="0"/>
    <n v="0"/>
    <n v="0"/>
    <n v="0"/>
    <n v="0"/>
    <n v="0"/>
    <n v="0"/>
    <n v="0"/>
    <n v="0"/>
    <n v="0"/>
    <n v="0"/>
    <x v="3"/>
  </r>
  <r>
    <x v="1"/>
    <x v="16"/>
    <s v="Central level"/>
    <s v="North Western"/>
    <n v="0"/>
    <n v="0"/>
    <n v="0"/>
    <n v="0"/>
    <n v="0"/>
    <n v="0"/>
    <n v="0"/>
    <n v="0"/>
    <n v="0"/>
    <n v="0"/>
    <n v="0"/>
    <n v="0"/>
    <n v="0"/>
    <n v="0"/>
    <n v="0"/>
    <n v="0"/>
    <n v="0"/>
    <n v="0"/>
    <n v="0"/>
    <n v="0"/>
    <n v="0"/>
    <x v="3"/>
  </r>
  <r>
    <x v="1"/>
    <x v="16"/>
    <s v="Central level"/>
    <s v="Southern"/>
    <n v="0"/>
    <n v="0"/>
    <n v="0"/>
    <n v="0"/>
    <n v="0"/>
    <n v="0"/>
    <n v="0"/>
    <n v="0"/>
    <n v="0"/>
    <n v="0"/>
    <n v="0"/>
    <n v="0"/>
    <n v="0"/>
    <n v="0"/>
    <n v="0"/>
    <n v="0"/>
    <n v="0"/>
    <n v="0"/>
    <n v="0"/>
    <n v="0"/>
    <n v="0"/>
    <x v="3"/>
  </r>
  <r>
    <x v="1"/>
    <x v="16"/>
    <s v="Central level"/>
    <s v="Western"/>
    <n v="0"/>
    <n v="0"/>
    <n v="0"/>
    <n v="0"/>
    <n v="0"/>
    <n v="0"/>
    <n v="0"/>
    <n v="0"/>
    <n v="0"/>
    <n v="0"/>
    <n v="0"/>
    <n v="0"/>
    <n v="0"/>
    <n v="0"/>
    <n v="0"/>
    <n v="0"/>
    <n v="0"/>
    <n v="0"/>
    <n v="0"/>
    <n v="0"/>
    <n v="0"/>
    <x v="3"/>
  </r>
  <r>
    <x v="1"/>
    <x v="16"/>
    <s v="Central level"/>
    <n v="0"/>
    <n v="0"/>
    <n v="0"/>
    <n v="0"/>
    <n v="0"/>
    <n v="0"/>
    <n v="0"/>
    <n v="0"/>
    <n v="0"/>
    <n v="0"/>
    <n v="0"/>
    <n v="0"/>
    <n v="0"/>
    <n v="0"/>
    <n v="0"/>
    <n v="0"/>
    <n v="0"/>
    <n v="0"/>
    <n v="0"/>
    <n v="0"/>
    <n v="0"/>
    <n v="0"/>
    <x v="3"/>
  </r>
  <r>
    <x v="1"/>
    <x v="16"/>
    <s v="Central level"/>
    <n v="0"/>
    <n v="0"/>
    <n v="0"/>
    <n v="0"/>
    <n v="0"/>
    <n v="0"/>
    <n v="0"/>
    <n v="0"/>
    <n v="0"/>
    <n v="0"/>
    <n v="0"/>
    <n v="0"/>
    <n v="0"/>
    <n v="0"/>
    <n v="0"/>
    <n v="0"/>
    <n v="0"/>
    <n v="0"/>
    <n v="0"/>
    <n v="0"/>
    <n v="0"/>
    <n v="0"/>
    <x v="3"/>
  </r>
  <r>
    <x v="1"/>
    <x v="16"/>
    <s v="Central level"/>
    <n v="0"/>
    <n v="0"/>
    <n v="0"/>
    <n v="0"/>
    <n v="0"/>
    <n v="0"/>
    <n v="0"/>
    <n v="0"/>
    <n v="0"/>
    <n v="0"/>
    <n v="0"/>
    <n v="0"/>
    <n v="0"/>
    <n v="0"/>
    <n v="0"/>
    <n v="0"/>
    <n v="0"/>
    <n v="0"/>
    <n v="0"/>
    <n v="0"/>
    <n v="0"/>
    <n v="0"/>
    <x v="3"/>
  </r>
  <r>
    <x v="1"/>
    <x v="16"/>
    <s v="Central level"/>
    <n v="0"/>
    <n v="0"/>
    <n v="0"/>
    <n v="0"/>
    <n v="0"/>
    <n v="0"/>
    <n v="0"/>
    <n v="0"/>
    <n v="0"/>
    <n v="0"/>
    <n v="0"/>
    <n v="0"/>
    <n v="0"/>
    <n v="0"/>
    <n v="0"/>
    <n v="0"/>
    <n v="0"/>
    <n v="0"/>
    <n v="0"/>
    <n v="0"/>
    <n v="0"/>
    <n v="0"/>
    <x v="3"/>
  </r>
  <r>
    <x v="1"/>
    <x v="16"/>
    <s v="Central level"/>
    <n v="0"/>
    <n v="0"/>
    <n v="0"/>
    <n v="0"/>
    <n v="0"/>
    <n v="0"/>
    <n v="0"/>
    <n v="0"/>
    <n v="0"/>
    <n v="0"/>
    <n v="0"/>
    <n v="0"/>
    <n v="0"/>
    <n v="0"/>
    <n v="0"/>
    <n v="0"/>
    <n v="0"/>
    <n v="0"/>
    <n v="0"/>
    <n v="0"/>
    <n v="0"/>
    <n v="0"/>
    <x v="3"/>
  </r>
  <r>
    <x v="1"/>
    <x v="16"/>
    <s v="Central level"/>
    <s v="National-level"/>
    <n v="0"/>
    <n v="73677.576000000001"/>
    <n v="0"/>
    <n v="0"/>
    <n v="0"/>
    <n v="0"/>
    <n v="0"/>
    <n v="0"/>
    <n v="0"/>
    <n v="0"/>
    <n v="73677.576000000001"/>
    <n v="0"/>
    <n v="73677.576000000001"/>
    <n v="0"/>
    <n v="0"/>
    <n v="0"/>
    <n v="0"/>
    <n v="0"/>
    <n v="0"/>
    <n v="0"/>
    <n v="0"/>
    <x v="3"/>
  </r>
  <r>
    <x v="1"/>
    <x v="17"/>
    <s v="Central level"/>
    <s v="Central"/>
    <n v="0"/>
    <n v="0"/>
    <n v="0"/>
    <n v="0"/>
    <n v="0"/>
    <n v="0"/>
    <n v="0"/>
    <n v="0"/>
    <n v="0"/>
    <n v="0"/>
    <n v="0"/>
    <n v="0"/>
    <n v="0"/>
    <n v="0"/>
    <n v="0"/>
    <n v="0"/>
    <n v="0"/>
    <n v="0"/>
    <n v="0"/>
    <n v="0"/>
    <n v="0"/>
    <x v="3"/>
  </r>
  <r>
    <x v="1"/>
    <x v="17"/>
    <s v="Central level"/>
    <s v="Copperbelt"/>
    <n v="0"/>
    <n v="0"/>
    <n v="0"/>
    <n v="0"/>
    <n v="0"/>
    <n v="0"/>
    <n v="0"/>
    <n v="0"/>
    <n v="0"/>
    <n v="0"/>
    <n v="0"/>
    <n v="0"/>
    <n v="0"/>
    <n v="0"/>
    <n v="0"/>
    <n v="0"/>
    <n v="0"/>
    <n v="0"/>
    <n v="0"/>
    <n v="0"/>
    <n v="0"/>
    <x v="3"/>
  </r>
  <r>
    <x v="1"/>
    <x v="17"/>
    <s v="Central level"/>
    <s v="Eastern"/>
    <n v="0"/>
    <n v="0"/>
    <n v="0"/>
    <n v="0"/>
    <n v="0"/>
    <n v="0"/>
    <n v="0"/>
    <n v="0"/>
    <n v="0"/>
    <n v="0"/>
    <n v="0"/>
    <n v="0"/>
    <n v="0"/>
    <n v="0"/>
    <n v="0"/>
    <n v="0"/>
    <n v="0"/>
    <n v="0"/>
    <n v="0"/>
    <n v="0"/>
    <n v="0"/>
    <x v="3"/>
  </r>
  <r>
    <x v="1"/>
    <x v="17"/>
    <s v="Central level"/>
    <s v="Luapula"/>
    <n v="0"/>
    <n v="0"/>
    <n v="0"/>
    <n v="0"/>
    <n v="0"/>
    <n v="0"/>
    <n v="0"/>
    <n v="0"/>
    <n v="0"/>
    <n v="0"/>
    <n v="0"/>
    <n v="0"/>
    <n v="0"/>
    <n v="0"/>
    <n v="0"/>
    <n v="0"/>
    <n v="0"/>
    <n v="0"/>
    <n v="0"/>
    <n v="0"/>
    <n v="0"/>
    <x v="3"/>
  </r>
  <r>
    <x v="1"/>
    <x v="17"/>
    <s v="Central level"/>
    <s v="Lusaka"/>
    <n v="0"/>
    <n v="0"/>
    <n v="0"/>
    <n v="0"/>
    <n v="0"/>
    <n v="0"/>
    <n v="0"/>
    <n v="0"/>
    <n v="0"/>
    <n v="0"/>
    <n v="0"/>
    <n v="0"/>
    <n v="0"/>
    <n v="0"/>
    <n v="0"/>
    <n v="0"/>
    <n v="0"/>
    <n v="0"/>
    <n v="0"/>
    <n v="0"/>
    <n v="0"/>
    <x v="3"/>
  </r>
  <r>
    <x v="1"/>
    <x v="17"/>
    <s v="Central level"/>
    <s v="Muchinga"/>
    <n v="0"/>
    <n v="0"/>
    <n v="0"/>
    <n v="0"/>
    <n v="0"/>
    <n v="0"/>
    <n v="0"/>
    <n v="0"/>
    <n v="0"/>
    <n v="0"/>
    <n v="0"/>
    <n v="0"/>
    <n v="0"/>
    <n v="0"/>
    <n v="0"/>
    <n v="0"/>
    <n v="0"/>
    <n v="0"/>
    <n v="0"/>
    <n v="0"/>
    <n v="0"/>
    <x v="3"/>
  </r>
  <r>
    <x v="1"/>
    <x v="17"/>
    <s v="Central level"/>
    <s v="Northern"/>
    <n v="0"/>
    <n v="0"/>
    <n v="0"/>
    <n v="0"/>
    <n v="0"/>
    <n v="0"/>
    <n v="0"/>
    <n v="0"/>
    <n v="0"/>
    <n v="0"/>
    <n v="0"/>
    <n v="0"/>
    <n v="0"/>
    <n v="0"/>
    <n v="0"/>
    <n v="0"/>
    <n v="0"/>
    <n v="0"/>
    <n v="0"/>
    <n v="0"/>
    <n v="0"/>
    <x v="3"/>
  </r>
  <r>
    <x v="1"/>
    <x v="17"/>
    <s v="Central level"/>
    <s v="North Western"/>
    <n v="0"/>
    <n v="0"/>
    <n v="0"/>
    <n v="0"/>
    <n v="0"/>
    <n v="0"/>
    <n v="0"/>
    <n v="0"/>
    <n v="0"/>
    <n v="0"/>
    <n v="0"/>
    <n v="0"/>
    <n v="0"/>
    <n v="0"/>
    <n v="0"/>
    <n v="0"/>
    <n v="0"/>
    <n v="0"/>
    <n v="0"/>
    <n v="0"/>
    <n v="0"/>
    <x v="3"/>
  </r>
  <r>
    <x v="1"/>
    <x v="17"/>
    <s v="Central level"/>
    <s v="Southern"/>
    <n v="0"/>
    <n v="0"/>
    <n v="0"/>
    <n v="0"/>
    <n v="0"/>
    <n v="0"/>
    <n v="0"/>
    <n v="0"/>
    <n v="0"/>
    <n v="0"/>
    <n v="0"/>
    <n v="0"/>
    <n v="0"/>
    <n v="0"/>
    <n v="0"/>
    <n v="0"/>
    <n v="0"/>
    <n v="0"/>
    <n v="0"/>
    <n v="0"/>
    <n v="0"/>
    <x v="3"/>
  </r>
  <r>
    <x v="1"/>
    <x v="17"/>
    <s v="Central level"/>
    <s v="Western"/>
    <n v="0"/>
    <n v="0"/>
    <n v="0"/>
    <n v="0"/>
    <n v="0"/>
    <n v="0"/>
    <n v="0"/>
    <n v="0"/>
    <n v="0"/>
    <n v="0"/>
    <n v="0"/>
    <n v="0"/>
    <n v="0"/>
    <n v="0"/>
    <n v="0"/>
    <n v="0"/>
    <n v="0"/>
    <n v="0"/>
    <n v="0"/>
    <n v="0"/>
    <n v="0"/>
    <x v="3"/>
  </r>
  <r>
    <x v="1"/>
    <x v="17"/>
    <s v="Central level"/>
    <n v="0"/>
    <n v="0"/>
    <n v="0"/>
    <n v="0"/>
    <n v="0"/>
    <n v="0"/>
    <n v="0"/>
    <n v="0"/>
    <n v="0"/>
    <n v="0"/>
    <n v="0"/>
    <n v="0"/>
    <n v="0"/>
    <n v="0"/>
    <n v="0"/>
    <n v="0"/>
    <n v="0"/>
    <n v="0"/>
    <n v="0"/>
    <n v="0"/>
    <n v="0"/>
    <n v="0"/>
    <x v="3"/>
  </r>
  <r>
    <x v="1"/>
    <x v="17"/>
    <s v="Central level"/>
    <n v="0"/>
    <n v="0"/>
    <n v="0"/>
    <n v="0"/>
    <n v="0"/>
    <n v="0"/>
    <n v="0"/>
    <n v="0"/>
    <n v="0"/>
    <n v="0"/>
    <n v="0"/>
    <n v="0"/>
    <n v="0"/>
    <n v="0"/>
    <n v="0"/>
    <n v="0"/>
    <n v="0"/>
    <n v="0"/>
    <n v="0"/>
    <n v="0"/>
    <n v="0"/>
    <n v="0"/>
    <x v="3"/>
  </r>
  <r>
    <x v="1"/>
    <x v="17"/>
    <s v="Central level"/>
    <n v="0"/>
    <n v="0"/>
    <n v="0"/>
    <n v="0"/>
    <n v="0"/>
    <n v="0"/>
    <n v="0"/>
    <n v="0"/>
    <n v="0"/>
    <n v="0"/>
    <n v="0"/>
    <n v="0"/>
    <n v="0"/>
    <n v="0"/>
    <n v="0"/>
    <n v="0"/>
    <n v="0"/>
    <n v="0"/>
    <n v="0"/>
    <n v="0"/>
    <n v="0"/>
    <n v="0"/>
    <x v="3"/>
  </r>
  <r>
    <x v="1"/>
    <x v="17"/>
    <s v="Central level"/>
    <n v="0"/>
    <n v="0"/>
    <n v="0"/>
    <n v="0"/>
    <n v="0"/>
    <n v="0"/>
    <n v="0"/>
    <n v="0"/>
    <n v="0"/>
    <n v="0"/>
    <n v="0"/>
    <n v="0"/>
    <n v="0"/>
    <n v="0"/>
    <n v="0"/>
    <n v="0"/>
    <n v="0"/>
    <n v="0"/>
    <n v="0"/>
    <n v="0"/>
    <n v="0"/>
    <n v="0"/>
    <x v="3"/>
  </r>
  <r>
    <x v="1"/>
    <x v="17"/>
    <s v="Central level"/>
    <n v="0"/>
    <n v="0"/>
    <n v="0"/>
    <n v="0"/>
    <n v="0"/>
    <n v="0"/>
    <n v="0"/>
    <n v="0"/>
    <n v="0"/>
    <n v="0"/>
    <n v="0"/>
    <n v="0"/>
    <n v="0"/>
    <n v="0"/>
    <n v="0"/>
    <n v="0"/>
    <n v="0"/>
    <n v="0"/>
    <n v="0"/>
    <n v="0"/>
    <n v="0"/>
    <n v="0"/>
    <x v="3"/>
  </r>
  <r>
    <x v="1"/>
    <x v="17"/>
    <s v="Central level"/>
    <s v="National-level"/>
    <n v="0"/>
    <n v="266107.364"/>
    <n v="0"/>
    <n v="266107.364"/>
    <n v="0"/>
    <n v="266107.364"/>
    <n v="0"/>
    <n v="266107.364"/>
    <n v="0"/>
    <n v="0"/>
    <n v="1064429.456"/>
    <n v="0"/>
    <n v="266107.364"/>
    <n v="0"/>
    <n v="266107.364"/>
    <n v="0"/>
    <n v="266107.364"/>
    <n v="0"/>
    <n v="266107.364"/>
    <n v="0"/>
    <n v="0"/>
    <x v="3"/>
  </r>
  <r>
    <x v="1"/>
    <x v="18"/>
    <s v="Central level"/>
    <s v="Central"/>
    <n v="0"/>
    <n v="0"/>
    <n v="0"/>
    <n v="0"/>
    <n v="0"/>
    <n v="0"/>
    <n v="0"/>
    <n v="0"/>
    <n v="0"/>
    <n v="0"/>
    <n v="0"/>
    <n v="0"/>
    <n v="0"/>
    <n v="0"/>
    <n v="0"/>
    <n v="0"/>
    <n v="0"/>
    <n v="0"/>
    <n v="0"/>
    <n v="0"/>
    <n v="0"/>
    <x v="1"/>
  </r>
  <r>
    <x v="1"/>
    <x v="18"/>
    <s v="Central level"/>
    <s v="Copperbelt"/>
    <n v="0"/>
    <n v="0"/>
    <n v="0"/>
    <n v="0"/>
    <n v="0"/>
    <n v="0"/>
    <n v="0"/>
    <n v="0"/>
    <n v="0"/>
    <n v="0"/>
    <n v="0"/>
    <n v="0"/>
    <n v="0"/>
    <n v="0"/>
    <n v="0"/>
    <n v="0"/>
    <n v="0"/>
    <n v="0"/>
    <n v="0"/>
    <n v="0"/>
    <n v="0"/>
    <x v="1"/>
  </r>
  <r>
    <x v="1"/>
    <x v="18"/>
    <s v="Central level"/>
    <s v="Eastern"/>
    <n v="0"/>
    <n v="0"/>
    <n v="0"/>
    <n v="0"/>
    <n v="0"/>
    <n v="0"/>
    <n v="0"/>
    <n v="0"/>
    <n v="0"/>
    <n v="0"/>
    <n v="0"/>
    <n v="0"/>
    <n v="0"/>
    <n v="0"/>
    <n v="0"/>
    <n v="0"/>
    <n v="0"/>
    <n v="0"/>
    <n v="0"/>
    <n v="0"/>
    <n v="0"/>
    <x v="1"/>
  </r>
  <r>
    <x v="1"/>
    <x v="18"/>
    <s v="Central level"/>
    <s v="Luapula"/>
    <n v="0"/>
    <n v="0"/>
    <n v="0"/>
    <n v="0"/>
    <n v="0"/>
    <n v="0"/>
    <n v="0"/>
    <n v="0"/>
    <n v="0"/>
    <n v="0"/>
    <n v="0"/>
    <n v="0"/>
    <n v="0"/>
    <n v="0"/>
    <n v="0"/>
    <n v="0"/>
    <n v="0"/>
    <n v="0"/>
    <n v="0"/>
    <n v="0"/>
    <n v="0"/>
    <x v="1"/>
  </r>
  <r>
    <x v="1"/>
    <x v="18"/>
    <s v="Central level"/>
    <s v="Lusaka"/>
    <n v="0"/>
    <n v="0"/>
    <n v="0"/>
    <n v="0"/>
    <n v="0"/>
    <n v="0"/>
    <n v="0"/>
    <n v="0"/>
    <n v="0"/>
    <n v="0"/>
    <n v="0"/>
    <n v="0"/>
    <n v="0"/>
    <n v="0"/>
    <n v="0"/>
    <n v="0"/>
    <n v="0"/>
    <n v="0"/>
    <n v="0"/>
    <n v="0"/>
    <n v="0"/>
    <x v="1"/>
  </r>
  <r>
    <x v="1"/>
    <x v="18"/>
    <s v="Central level"/>
    <s v="Muchinga"/>
    <n v="0"/>
    <n v="0"/>
    <n v="0"/>
    <n v="0"/>
    <n v="0"/>
    <n v="0"/>
    <n v="0"/>
    <n v="0"/>
    <n v="0"/>
    <n v="0"/>
    <n v="0"/>
    <n v="0"/>
    <n v="0"/>
    <n v="0"/>
    <n v="0"/>
    <n v="0"/>
    <n v="0"/>
    <n v="0"/>
    <n v="0"/>
    <n v="0"/>
    <n v="0"/>
    <x v="1"/>
  </r>
  <r>
    <x v="1"/>
    <x v="18"/>
    <s v="Central level"/>
    <s v="Northern"/>
    <n v="0"/>
    <n v="0"/>
    <n v="0"/>
    <n v="0"/>
    <n v="0"/>
    <n v="0"/>
    <n v="0"/>
    <n v="0"/>
    <n v="0"/>
    <n v="0"/>
    <n v="0"/>
    <n v="0"/>
    <n v="0"/>
    <n v="0"/>
    <n v="0"/>
    <n v="0"/>
    <n v="0"/>
    <n v="0"/>
    <n v="0"/>
    <n v="0"/>
    <n v="0"/>
    <x v="1"/>
  </r>
  <r>
    <x v="1"/>
    <x v="18"/>
    <s v="Central level"/>
    <s v="North Western"/>
    <n v="0"/>
    <n v="0"/>
    <n v="0"/>
    <n v="0"/>
    <n v="0"/>
    <n v="0"/>
    <n v="0"/>
    <n v="0"/>
    <n v="0"/>
    <n v="0"/>
    <n v="0"/>
    <n v="0"/>
    <n v="0"/>
    <n v="0"/>
    <n v="0"/>
    <n v="0"/>
    <n v="0"/>
    <n v="0"/>
    <n v="0"/>
    <n v="0"/>
    <n v="0"/>
    <x v="1"/>
  </r>
  <r>
    <x v="1"/>
    <x v="18"/>
    <s v="Central level"/>
    <s v="Southern"/>
    <n v="0"/>
    <n v="0"/>
    <n v="0"/>
    <n v="0"/>
    <n v="0"/>
    <n v="0"/>
    <n v="0"/>
    <n v="0"/>
    <n v="0"/>
    <n v="0"/>
    <n v="0"/>
    <n v="0"/>
    <n v="0"/>
    <n v="0"/>
    <n v="0"/>
    <n v="0"/>
    <n v="0"/>
    <n v="0"/>
    <n v="0"/>
    <n v="0"/>
    <n v="0"/>
    <x v="1"/>
  </r>
  <r>
    <x v="1"/>
    <x v="18"/>
    <s v="Central level"/>
    <s v="Western"/>
    <n v="0"/>
    <n v="0"/>
    <n v="0"/>
    <n v="0"/>
    <n v="0"/>
    <n v="0"/>
    <n v="0"/>
    <n v="0"/>
    <n v="0"/>
    <n v="0"/>
    <n v="0"/>
    <n v="0"/>
    <n v="0"/>
    <n v="0"/>
    <n v="0"/>
    <n v="0"/>
    <n v="0"/>
    <n v="0"/>
    <n v="0"/>
    <n v="0"/>
    <n v="0"/>
    <x v="1"/>
  </r>
  <r>
    <x v="1"/>
    <x v="18"/>
    <s v="Central level"/>
    <n v="0"/>
    <n v="0"/>
    <n v="0"/>
    <n v="0"/>
    <n v="0"/>
    <n v="0"/>
    <n v="0"/>
    <n v="0"/>
    <n v="0"/>
    <n v="0"/>
    <n v="0"/>
    <n v="0"/>
    <n v="0"/>
    <n v="0"/>
    <n v="0"/>
    <n v="0"/>
    <n v="0"/>
    <n v="0"/>
    <n v="0"/>
    <n v="0"/>
    <n v="0"/>
    <n v="0"/>
    <x v="1"/>
  </r>
  <r>
    <x v="1"/>
    <x v="18"/>
    <s v="Central level"/>
    <n v="0"/>
    <n v="0"/>
    <n v="0"/>
    <n v="0"/>
    <n v="0"/>
    <n v="0"/>
    <n v="0"/>
    <n v="0"/>
    <n v="0"/>
    <n v="0"/>
    <n v="0"/>
    <n v="0"/>
    <n v="0"/>
    <n v="0"/>
    <n v="0"/>
    <n v="0"/>
    <n v="0"/>
    <n v="0"/>
    <n v="0"/>
    <n v="0"/>
    <n v="0"/>
    <n v="0"/>
    <x v="1"/>
  </r>
  <r>
    <x v="1"/>
    <x v="18"/>
    <s v="Central level"/>
    <n v="0"/>
    <n v="0"/>
    <n v="0"/>
    <n v="0"/>
    <n v="0"/>
    <n v="0"/>
    <n v="0"/>
    <n v="0"/>
    <n v="0"/>
    <n v="0"/>
    <n v="0"/>
    <n v="0"/>
    <n v="0"/>
    <n v="0"/>
    <n v="0"/>
    <n v="0"/>
    <n v="0"/>
    <n v="0"/>
    <n v="0"/>
    <n v="0"/>
    <n v="0"/>
    <n v="0"/>
    <x v="1"/>
  </r>
  <r>
    <x v="1"/>
    <x v="18"/>
    <s v="Central level"/>
    <n v="0"/>
    <n v="0"/>
    <n v="0"/>
    <n v="0"/>
    <n v="0"/>
    <n v="0"/>
    <n v="0"/>
    <n v="0"/>
    <n v="0"/>
    <n v="0"/>
    <n v="0"/>
    <n v="0"/>
    <n v="0"/>
    <n v="0"/>
    <n v="0"/>
    <n v="0"/>
    <n v="0"/>
    <n v="0"/>
    <n v="0"/>
    <n v="0"/>
    <n v="0"/>
    <n v="0"/>
    <x v="1"/>
  </r>
  <r>
    <x v="1"/>
    <x v="18"/>
    <s v="Central level"/>
    <n v="0"/>
    <n v="0"/>
    <n v="0"/>
    <n v="0"/>
    <n v="0"/>
    <n v="0"/>
    <n v="0"/>
    <n v="0"/>
    <n v="0"/>
    <n v="0"/>
    <n v="0"/>
    <n v="0"/>
    <n v="0"/>
    <n v="0"/>
    <n v="0"/>
    <n v="0"/>
    <n v="0"/>
    <n v="0"/>
    <n v="0"/>
    <n v="0"/>
    <n v="0"/>
    <n v="0"/>
    <x v="1"/>
  </r>
  <r>
    <x v="1"/>
    <x v="18"/>
    <s v="Central level"/>
    <s v="National-level"/>
    <n v="66702.576000000001"/>
    <n v="66702.576000000001"/>
    <n v="0"/>
    <n v="0"/>
    <n v="66702.576000000001"/>
    <n v="0"/>
    <n v="0"/>
    <n v="0"/>
    <n v="0"/>
    <n v="0"/>
    <n v="200107.728"/>
    <n v="66702.576000000001"/>
    <n v="66702.576000000001"/>
    <n v="0"/>
    <n v="0"/>
    <n v="66702.576000000001"/>
    <n v="0"/>
    <n v="0"/>
    <n v="0"/>
    <n v="0"/>
    <n v="0"/>
    <x v="1"/>
  </r>
  <r>
    <x v="1"/>
    <x v="19"/>
    <s v="Central level"/>
    <s v="Central"/>
    <n v="0"/>
    <n v="0"/>
    <n v="0"/>
    <n v="0"/>
    <n v="0"/>
    <n v="0"/>
    <n v="0"/>
    <n v="0"/>
    <n v="0"/>
    <n v="0"/>
    <n v="0"/>
    <n v="0"/>
    <n v="0"/>
    <n v="0"/>
    <n v="0"/>
    <n v="0"/>
    <n v="0"/>
    <n v="0"/>
    <n v="0"/>
    <n v="0"/>
    <n v="0"/>
    <x v="3"/>
  </r>
  <r>
    <x v="1"/>
    <x v="19"/>
    <s v="Central level"/>
    <s v="Copperbelt"/>
    <n v="0"/>
    <n v="0"/>
    <n v="0"/>
    <n v="0"/>
    <n v="0"/>
    <n v="0"/>
    <n v="0"/>
    <n v="0"/>
    <n v="0"/>
    <n v="0"/>
    <n v="0"/>
    <n v="0"/>
    <n v="0"/>
    <n v="0"/>
    <n v="0"/>
    <n v="0"/>
    <n v="0"/>
    <n v="0"/>
    <n v="0"/>
    <n v="0"/>
    <n v="0"/>
    <x v="3"/>
  </r>
  <r>
    <x v="1"/>
    <x v="19"/>
    <s v="Central level"/>
    <s v="Eastern"/>
    <n v="0"/>
    <n v="0"/>
    <n v="0"/>
    <n v="0"/>
    <n v="0"/>
    <n v="0"/>
    <n v="0"/>
    <n v="0"/>
    <n v="0"/>
    <n v="0"/>
    <n v="0"/>
    <n v="0"/>
    <n v="0"/>
    <n v="0"/>
    <n v="0"/>
    <n v="0"/>
    <n v="0"/>
    <n v="0"/>
    <n v="0"/>
    <n v="0"/>
    <n v="0"/>
    <x v="3"/>
  </r>
  <r>
    <x v="1"/>
    <x v="19"/>
    <s v="Central level"/>
    <s v="Luapula"/>
    <n v="0"/>
    <n v="0"/>
    <n v="0"/>
    <n v="0"/>
    <n v="0"/>
    <n v="0"/>
    <n v="0"/>
    <n v="0"/>
    <n v="0"/>
    <n v="0"/>
    <n v="0"/>
    <n v="0"/>
    <n v="0"/>
    <n v="0"/>
    <n v="0"/>
    <n v="0"/>
    <n v="0"/>
    <n v="0"/>
    <n v="0"/>
    <n v="0"/>
    <n v="0"/>
    <x v="3"/>
  </r>
  <r>
    <x v="1"/>
    <x v="19"/>
    <s v="Central level"/>
    <s v="Lusaka"/>
    <n v="0"/>
    <n v="0"/>
    <n v="0"/>
    <n v="0"/>
    <n v="0"/>
    <n v="0"/>
    <n v="0"/>
    <n v="0"/>
    <n v="0"/>
    <n v="0"/>
    <n v="0"/>
    <n v="0"/>
    <n v="0"/>
    <n v="0"/>
    <n v="0"/>
    <n v="0"/>
    <n v="0"/>
    <n v="0"/>
    <n v="0"/>
    <n v="0"/>
    <n v="0"/>
    <x v="3"/>
  </r>
  <r>
    <x v="1"/>
    <x v="19"/>
    <s v="Central level"/>
    <s v="Muchinga"/>
    <n v="0"/>
    <n v="0"/>
    <n v="0"/>
    <n v="0"/>
    <n v="0"/>
    <n v="0"/>
    <n v="0"/>
    <n v="0"/>
    <n v="0"/>
    <n v="0"/>
    <n v="0"/>
    <n v="0"/>
    <n v="0"/>
    <n v="0"/>
    <n v="0"/>
    <n v="0"/>
    <n v="0"/>
    <n v="0"/>
    <n v="0"/>
    <n v="0"/>
    <n v="0"/>
    <x v="3"/>
  </r>
  <r>
    <x v="1"/>
    <x v="19"/>
    <s v="Central level"/>
    <s v="Northern"/>
    <n v="0"/>
    <n v="0"/>
    <n v="0"/>
    <n v="0"/>
    <n v="0"/>
    <n v="0"/>
    <n v="0"/>
    <n v="0"/>
    <n v="0"/>
    <n v="0"/>
    <n v="0"/>
    <n v="0"/>
    <n v="0"/>
    <n v="0"/>
    <n v="0"/>
    <n v="0"/>
    <n v="0"/>
    <n v="0"/>
    <n v="0"/>
    <n v="0"/>
    <n v="0"/>
    <x v="3"/>
  </r>
  <r>
    <x v="1"/>
    <x v="19"/>
    <s v="Central level"/>
    <s v="North Western"/>
    <n v="0"/>
    <n v="0"/>
    <n v="0"/>
    <n v="0"/>
    <n v="0"/>
    <n v="0"/>
    <n v="0"/>
    <n v="0"/>
    <n v="0"/>
    <n v="0"/>
    <n v="0"/>
    <n v="0"/>
    <n v="0"/>
    <n v="0"/>
    <n v="0"/>
    <n v="0"/>
    <n v="0"/>
    <n v="0"/>
    <n v="0"/>
    <n v="0"/>
    <n v="0"/>
    <x v="3"/>
  </r>
  <r>
    <x v="1"/>
    <x v="19"/>
    <s v="Central level"/>
    <s v="Southern"/>
    <n v="0"/>
    <n v="0"/>
    <n v="0"/>
    <n v="0"/>
    <n v="0"/>
    <n v="0"/>
    <n v="0"/>
    <n v="0"/>
    <n v="0"/>
    <n v="0"/>
    <n v="0"/>
    <n v="0"/>
    <n v="0"/>
    <n v="0"/>
    <n v="0"/>
    <n v="0"/>
    <n v="0"/>
    <n v="0"/>
    <n v="0"/>
    <n v="0"/>
    <n v="0"/>
    <x v="3"/>
  </r>
  <r>
    <x v="1"/>
    <x v="19"/>
    <s v="Central level"/>
    <s v="Western"/>
    <n v="0"/>
    <n v="0"/>
    <n v="0"/>
    <n v="0"/>
    <n v="0"/>
    <n v="0"/>
    <n v="0"/>
    <n v="0"/>
    <n v="0"/>
    <n v="0"/>
    <n v="0"/>
    <n v="0"/>
    <n v="0"/>
    <n v="0"/>
    <n v="0"/>
    <n v="0"/>
    <n v="0"/>
    <n v="0"/>
    <n v="0"/>
    <n v="0"/>
    <n v="0"/>
    <x v="3"/>
  </r>
  <r>
    <x v="1"/>
    <x v="19"/>
    <s v="Central level"/>
    <n v="0"/>
    <n v="0"/>
    <n v="0"/>
    <n v="0"/>
    <n v="0"/>
    <n v="0"/>
    <n v="0"/>
    <n v="0"/>
    <n v="0"/>
    <n v="0"/>
    <n v="0"/>
    <n v="0"/>
    <n v="0"/>
    <n v="0"/>
    <n v="0"/>
    <n v="0"/>
    <n v="0"/>
    <n v="0"/>
    <n v="0"/>
    <n v="0"/>
    <n v="0"/>
    <n v="0"/>
    <x v="3"/>
  </r>
  <r>
    <x v="1"/>
    <x v="19"/>
    <s v="Central level"/>
    <n v="0"/>
    <n v="0"/>
    <n v="0"/>
    <n v="0"/>
    <n v="0"/>
    <n v="0"/>
    <n v="0"/>
    <n v="0"/>
    <n v="0"/>
    <n v="0"/>
    <n v="0"/>
    <n v="0"/>
    <n v="0"/>
    <n v="0"/>
    <n v="0"/>
    <n v="0"/>
    <n v="0"/>
    <n v="0"/>
    <n v="0"/>
    <n v="0"/>
    <n v="0"/>
    <n v="0"/>
    <x v="3"/>
  </r>
  <r>
    <x v="1"/>
    <x v="19"/>
    <s v="Central level"/>
    <n v="0"/>
    <n v="0"/>
    <n v="0"/>
    <n v="0"/>
    <n v="0"/>
    <n v="0"/>
    <n v="0"/>
    <n v="0"/>
    <n v="0"/>
    <n v="0"/>
    <n v="0"/>
    <n v="0"/>
    <n v="0"/>
    <n v="0"/>
    <n v="0"/>
    <n v="0"/>
    <n v="0"/>
    <n v="0"/>
    <n v="0"/>
    <n v="0"/>
    <n v="0"/>
    <n v="0"/>
    <x v="3"/>
  </r>
  <r>
    <x v="1"/>
    <x v="19"/>
    <s v="Central level"/>
    <n v="0"/>
    <n v="0"/>
    <n v="0"/>
    <n v="0"/>
    <n v="0"/>
    <n v="0"/>
    <n v="0"/>
    <n v="0"/>
    <n v="0"/>
    <n v="0"/>
    <n v="0"/>
    <n v="0"/>
    <n v="0"/>
    <n v="0"/>
    <n v="0"/>
    <n v="0"/>
    <n v="0"/>
    <n v="0"/>
    <n v="0"/>
    <n v="0"/>
    <n v="0"/>
    <n v="0"/>
    <x v="3"/>
  </r>
  <r>
    <x v="1"/>
    <x v="19"/>
    <s v="Central level"/>
    <n v="0"/>
    <n v="0"/>
    <n v="0"/>
    <n v="0"/>
    <n v="0"/>
    <n v="0"/>
    <n v="0"/>
    <n v="0"/>
    <n v="0"/>
    <n v="0"/>
    <n v="0"/>
    <n v="0"/>
    <n v="0"/>
    <n v="0"/>
    <n v="0"/>
    <n v="0"/>
    <n v="0"/>
    <n v="0"/>
    <n v="0"/>
    <n v="0"/>
    <n v="0"/>
    <n v="0"/>
    <x v="3"/>
  </r>
  <r>
    <x v="1"/>
    <x v="19"/>
    <s v="Central level"/>
    <s v="National-level"/>
    <n v="358132.65600000002"/>
    <n v="358132.65600000002"/>
    <n v="358132.65600000002"/>
    <n v="358132.65600000002"/>
    <n v="0"/>
    <n v="0"/>
    <n v="0"/>
    <n v="0"/>
    <n v="0"/>
    <n v="0"/>
    <n v="1432530.6240000001"/>
    <n v="358132.65600000002"/>
    <n v="358132.65600000002"/>
    <n v="358132.65600000002"/>
    <n v="358132.65600000002"/>
    <n v="0"/>
    <n v="0"/>
    <n v="0"/>
    <n v="0"/>
    <n v="0"/>
    <n v="0"/>
    <x v="3"/>
  </r>
  <r>
    <x v="1"/>
    <x v="20"/>
    <s v="Evenly by province/region"/>
    <s v="Central"/>
    <n v="0"/>
    <n v="26476.649600000004"/>
    <n v="26476.649600000004"/>
    <n v="0"/>
    <n v="0"/>
    <n v="0"/>
    <n v="0"/>
    <n v="0"/>
    <n v="0"/>
    <n v="0"/>
    <n v="52953.299200000009"/>
    <n v="0"/>
    <n v="26476.649600000004"/>
    <n v="26476.649600000004"/>
    <n v="0"/>
    <n v="0"/>
    <n v="0"/>
    <n v="0"/>
    <n v="0"/>
    <n v="0"/>
    <n v="0"/>
    <x v="3"/>
  </r>
  <r>
    <x v="1"/>
    <x v="20"/>
    <s v="Evenly by province/region"/>
    <s v="Copperbelt"/>
    <n v="0"/>
    <n v="26476.649600000004"/>
    <n v="26476.649600000004"/>
    <n v="0"/>
    <n v="0"/>
    <n v="0"/>
    <n v="0"/>
    <n v="0"/>
    <n v="0"/>
    <n v="0"/>
    <n v="52953.299200000009"/>
    <n v="0"/>
    <n v="26476.649600000004"/>
    <n v="26476.649600000004"/>
    <n v="0"/>
    <n v="0"/>
    <n v="0"/>
    <n v="0"/>
    <n v="0"/>
    <n v="0"/>
    <n v="0"/>
    <x v="3"/>
  </r>
  <r>
    <x v="1"/>
    <x v="20"/>
    <s v="Evenly by province/region"/>
    <s v="Eastern"/>
    <n v="0"/>
    <n v="26476.649600000004"/>
    <n v="26476.649600000004"/>
    <n v="0"/>
    <n v="0"/>
    <n v="0"/>
    <n v="0"/>
    <n v="0"/>
    <n v="0"/>
    <n v="0"/>
    <n v="52953.299200000009"/>
    <n v="0"/>
    <n v="26476.649600000004"/>
    <n v="26476.649600000004"/>
    <n v="0"/>
    <n v="0"/>
    <n v="0"/>
    <n v="0"/>
    <n v="0"/>
    <n v="0"/>
    <n v="0"/>
    <x v="3"/>
  </r>
  <r>
    <x v="1"/>
    <x v="20"/>
    <s v="Evenly by province/region"/>
    <s v="Luapula"/>
    <n v="0"/>
    <n v="26476.649600000004"/>
    <n v="26476.649600000004"/>
    <n v="0"/>
    <n v="0"/>
    <n v="0"/>
    <n v="0"/>
    <n v="0"/>
    <n v="0"/>
    <n v="0"/>
    <n v="52953.299200000009"/>
    <n v="0"/>
    <n v="26476.649600000004"/>
    <n v="26476.649600000004"/>
    <n v="0"/>
    <n v="0"/>
    <n v="0"/>
    <n v="0"/>
    <n v="0"/>
    <n v="0"/>
    <n v="0"/>
    <x v="3"/>
  </r>
  <r>
    <x v="1"/>
    <x v="20"/>
    <s v="Evenly by province/region"/>
    <s v="Lusaka"/>
    <n v="0"/>
    <n v="26476.649600000004"/>
    <n v="26476.649600000004"/>
    <n v="0"/>
    <n v="0"/>
    <n v="0"/>
    <n v="0"/>
    <n v="0"/>
    <n v="0"/>
    <n v="0"/>
    <n v="52953.299200000009"/>
    <n v="0"/>
    <n v="26476.649600000004"/>
    <n v="26476.649600000004"/>
    <n v="0"/>
    <n v="0"/>
    <n v="0"/>
    <n v="0"/>
    <n v="0"/>
    <n v="0"/>
    <n v="0"/>
    <x v="3"/>
  </r>
  <r>
    <x v="1"/>
    <x v="20"/>
    <s v="Evenly by province/region"/>
    <s v="Muchinga"/>
    <n v="0"/>
    <n v="26476.649600000004"/>
    <n v="26476.649600000004"/>
    <n v="0"/>
    <n v="0"/>
    <n v="0"/>
    <n v="0"/>
    <n v="0"/>
    <n v="0"/>
    <n v="0"/>
    <n v="52953.299200000009"/>
    <n v="0"/>
    <n v="26476.649600000004"/>
    <n v="26476.649600000004"/>
    <n v="0"/>
    <n v="0"/>
    <n v="0"/>
    <n v="0"/>
    <n v="0"/>
    <n v="0"/>
    <n v="0"/>
    <x v="3"/>
  </r>
  <r>
    <x v="1"/>
    <x v="20"/>
    <s v="Evenly by province/region"/>
    <s v="Northern"/>
    <n v="0"/>
    <n v="26476.649600000004"/>
    <n v="26476.649600000004"/>
    <n v="0"/>
    <n v="0"/>
    <n v="0"/>
    <n v="0"/>
    <n v="0"/>
    <n v="0"/>
    <n v="0"/>
    <n v="52953.299200000009"/>
    <n v="0"/>
    <n v="26476.649600000004"/>
    <n v="26476.649600000004"/>
    <n v="0"/>
    <n v="0"/>
    <n v="0"/>
    <n v="0"/>
    <n v="0"/>
    <n v="0"/>
    <n v="0"/>
    <x v="3"/>
  </r>
  <r>
    <x v="1"/>
    <x v="20"/>
    <s v="Evenly by province/region"/>
    <s v="North Western"/>
    <n v="0"/>
    <n v="26476.649600000004"/>
    <n v="26476.649600000004"/>
    <n v="0"/>
    <n v="0"/>
    <n v="0"/>
    <n v="0"/>
    <n v="0"/>
    <n v="0"/>
    <n v="0"/>
    <n v="52953.299200000009"/>
    <n v="0"/>
    <n v="26476.649600000004"/>
    <n v="26476.649600000004"/>
    <n v="0"/>
    <n v="0"/>
    <n v="0"/>
    <n v="0"/>
    <n v="0"/>
    <n v="0"/>
    <n v="0"/>
    <x v="3"/>
  </r>
  <r>
    <x v="1"/>
    <x v="20"/>
    <s v="Evenly by province/region"/>
    <s v="Southern"/>
    <n v="0"/>
    <n v="26476.649600000004"/>
    <n v="26476.649600000004"/>
    <n v="0"/>
    <n v="0"/>
    <n v="0"/>
    <n v="0"/>
    <n v="0"/>
    <n v="0"/>
    <n v="0"/>
    <n v="52953.299200000009"/>
    <n v="0"/>
    <n v="26476.649600000004"/>
    <n v="26476.649600000004"/>
    <n v="0"/>
    <n v="0"/>
    <n v="0"/>
    <n v="0"/>
    <n v="0"/>
    <n v="0"/>
    <n v="0"/>
    <x v="3"/>
  </r>
  <r>
    <x v="1"/>
    <x v="20"/>
    <s v="Evenly by province/region"/>
    <s v="Western"/>
    <n v="0"/>
    <n v="26476.649600000004"/>
    <n v="26476.649600000004"/>
    <n v="0"/>
    <n v="0"/>
    <n v="0"/>
    <n v="0"/>
    <n v="0"/>
    <n v="0"/>
    <n v="0"/>
    <n v="52953.299200000009"/>
    <n v="0"/>
    <n v="26476.649600000004"/>
    <n v="26476.649600000004"/>
    <n v="0"/>
    <n v="0"/>
    <n v="0"/>
    <n v="0"/>
    <n v="0"/>
    <n v="0"/>
    <n v="0"/>
    <x v="3"/>
  </r>
  <r>
    <x v="1"/>
    <x v="20"/>
    <s v="Evenly by province/region"/>
    <n v="0"/>
    <n v="0"/>
    <n v="0"/>
    <n v="0"/>
    <n v="0"/>
    <n v="0"/>
    <n v="0"/>
    <n v="0"/>
    <n v="0"/>
    <n v="0"/>
    <n v="0"/>
    <n v="0"/>
    <n v="0"/>
    <n v="0"/>
    <n v="0"/>
    <n v="0"/>
    <n v="0"/>
    <n v="0"/>
    <n v="0"/>
    <n v="0"/>
    <n v="0"/>
    <n v="0"/>
    <x v="3"/>
  </r>
  <r>
    <x v="1"/>
    <x v="20"/>
    <s v="Evenly by province/region"/>
    <n v="0"/>
    <n v="0"/>
    <n v="0"/>
    <n v="0"/>
    <n v="0"/>
    <n v="0"/>
    <n v="0"/>
    <n v="0"/>
    <n v="0"/>
    <n v="0"/>
    <n v="0"/>
    <n v="0"/>
    <n v="0"/>
    <n v="0"/>
    <n v="0"/>
    <n v="0"/>
    <n v="0"/>
    <n v="0"/>
    <n v="0"/>
    <n v="0"/>
    <n v="0"/>
    <n v="0"/>
    <x v="3"/>
  </r>
  <r>
    <x v="1"/>
    <x v="20"/>
    <s v="Evenly by province/region"/>
    <n v="0"/>
    <n v="0"/>
    <n v="0"/>
    <n v="0"/>
    <n v="0"/>
    <n v="0"/>
    <n v="0"/>
    <n v="0"/>
    <n v="0"/>
    <n v="0"/>
    <n v="0"/>
    <n v="0"/>
    <n v="0"/>
    <n v="0"/>
    <n v="0"/>
    <n v="0"/>
    <n v="0"/>
    <n v="0"/>
    <n v="0"/>
    <n v="0"/>
    <n v="0"/>
    <n v="0"/>
    <x v="3"/>
  </r>
  <r>
    <x v="1"/>
    <x v="20"/>
    <s v="Evenly by province/region"/>
    <n v="0"/>
    <n v="0"/>
    <n v="0"/>
    <n v="0"/>
    <n v="0"/>
    <n v="0"/>
    <n v="0"/>
    <n v="0"/>
    <n v="0"/>
    <n v="0"/>
    <n v="0"/>
    <n v="0"/>
    <n v="0"/>
    <n v="0"/>
    <n v="0"/>
    <n v="0"/>
    <n v="0"/>
    <n v="0"/>
    <n v="0"/>
    <n v="0"/>
    <n v="0"/>
    <n v="0"/>
    <x v="3"/>
  </r>
  <r>
    <x v="1"/>
    <x v="20"/>
    <s v="Evenly by province/region"/>
    <n v="0"/>
    <n v="0"/>
    <n v="0"/>
    <n v="0"/>
    <n v="0"/>
    <n v="0"/>
    <n v="0"/>
    <n v="0"/>
    <n v="0"/>
    <n v="0"/>
    <n v="0"/>
    <n v="0"/>
    <n v="0"/>
    <n v="0"/>
    <n v="0"/>
    <n v="0"/>
    <n v="0"/>
    <n v="0"/>
    <n v="0"/>
    <n v="0"/>
    <n v="0"/>
    <n v="0"/>
    <x v="3"/>
  </r>
  <r>
    <x v="1"/>
    <x v="20"/>
    <s v="Evenly by province/region"/>
    <s v="National-level"/>
    <n v="0"/>
    <n v="0"/>
    <n v="0"/>
    <n v="0"/>
    <n v="0"/>
    <n v="0"/>
    <n v="0"/>
    <n v="0"/>
    <n v="0"/>
    <n v="0"/>
    <n v="0"/>
    <n v="0"/>
    <n v="0"/>
    <n v="0"/>
    <n v="0"/>
    <n v="0"/>
    <n v="0"/>
    <n v="0"/>
    <n v="0"/>
    <n v="0"/>
    <n v="0"/>
    <x v="3"/>
  </r>
  <r>
    <x v="1"/>
    <x v="21"/>
    <s v="Districts"/>
    <s v="Central"/>
    <n v="324857.79033333331"/>
    <n v="324857.79033333331"/>
    <n v="324857.79033333331"/>
    <n v="324857.79033333331"/>
    <n v="324857.79033333331"/>
    <n v="324857.79033333331"/>
    <n v="324857.79033333331"/>
    <n v="324857.79033333331"/>
    <n v="0"/>
    <n v="0"/>
    <n v="2598862.3226666669"/>
    <n v="324857.79033333331"/>
    <n v="324857.79033333331"/>
    <n v="324857.79033333331"/>
    <n v="324857.79033333331"/>
    <n v="324857.79033333331"/>
    <n v="324857.79033333331"/>
    <n v="324857.79033333331"/>
    <n v="324857.79033333331"/>
    <n v="0"/>
    <n v="0"/>
    <x v="3"/>
  </r>
  <r>
    <x v="1"/>
    <x v="21"/>
    <s v="Districts"/>
    <s v="Copperbelt"/>
    <n v="541429.65055555559"/>
    <n v="541429.65055555559"/>
    <n v="541429.65055555559"/>
    <n v="541429.65055555559"/>
    <n v="541429.65055555559"/>
    <n v="541429.65055555559"/>
    <n v="541429.65055555559"/>
    <n v="541429.65055555559"/>
    <n v="0"/>
    <n v="0"/>
    <n v="4331437.2044444447"/>
    <n v="541429.65055555559"/>
    <n v="541429.65055555559"/>
    <n v="541429.65055555559"/>
    <n v="541429.65055555559"/>
    <n v="541429.65055555559"/>
    <n v="541429.65055555559"/>
    <n v="541429.65055555559"/>
    <n v="541429.65055555559"/>
    <n v="0"/>
    <n v="0"/>
    <x v="3"/>
  </r>
  <r>
    <x v="1"/>
    <x v="21"/>
    <s v="Districts"/>
    <s v="Eastern"/>
    <n v="379000.75538888894"/>
    <n v="379000.75538888894"/>
    <n v="379000.75538888894"/>
    <n v="379000.75538888894"/>
    <n v="379000.75538888894"/>
    <n v="379000.75538888894"/>
    <n v="379000.75538888894"/>
    <n v="379000.75538888894"/>
    <n v="0"/>
    <n v="0"/>
    <n v="3032006.0431111115"/>
    <n v="379000.75538888894"/>
    <n v="379000.75538888894"/>
    <n v="379000.75538888894"/>
    <n v="379000.75538888894"/>
    <n v="379000.75538888894"/>
    <n v="379000.75538888894"/>
    <n v="379000.75538888894"/>
    <n v="379000.75538888894"/>
    <n v="0"/>
    <n v="0"/>
    <x v="3"/>
  </r>
  <r>
    <x v="1"/>
    <x v="21"/>
    <s v="Districts"/>
    <s v="Luapula"/>
    <n v="379000.75538888894"/>
    <n v="379000.75538888894"/>
    <n v="379000.75538888894"/>
    <n v="379000.75538888894"/>
    <n v="379000.75538888894"/>
    <n v="379000.75538888894"/>
    <n v="379000.75538888894"/>
    <n v="379000.75538888894"/>
    <n v="0"/>
    <n v="0"/>
    <n v="3032006.0431111115"/>
    <n v="379000.75538888894"/>
    <n v="379000.75538888894"/>
    <n v="379000.75538888894"/>
    <n v="379000.75538888894"/>
    <n v="379000.75538888894"/>
    <n v="379000.75538888894"/>
    <n v="379000.75538888894"/>
    <n v="379000.75538888894"/>
    <n v="0"/>
    <n v="0"/>
    <x v="3"/>
  </r>
  <r>
    <x v="1"/>
    <x v="21"/>
    <s v="Districts"/>
    <s v="Lusaka"/>
    <n v="216571.86022222223"/>
    <n v="216571.86022222223"/>
    <n v="216571.86022222223"/>
    <n v="216571.86022222223"/>
    <n v="216571.86022222223"/>
    <n v="216571.86022222223"/>
    <n v="216571.86022222223"/>
    <n v="216571.86022222223"/>
    <n v="0"/>
    <n v="0"/>
    <n v="1732574.881777778"/>
    <n v="216571.86022222223"/>
    <n v="216571.86022222223"/>
    <n v="216571.86022222223"/>
    <n v="216571.86022222223"/>
    <n v="216571.86022222223"/>
    <n v="216571.86022222223"/>
    <n v="216571.86022222223"/>
    <n v="216571.86022222223"/>
    <n v="0"/>
    <n v="0"/>
    <x v="3"/>
  </r>
  <r>
    <x v="1"/>
    <x v="21"/>
    <s v="Districts"/>
    <s v="Muchinga"/>
    <n v="270714.8252777778"/>
    <n v="270714.8252777778"/>
    <n v="270714.8252777778"/>
    <n v="270714.8252777778"/>
    <n v="270714.8252777778"/>
    <n v="270714.8252777778"/>
    <n v="270714.8252777778"/>
    <n v="270714.8252777778"/>
    <n v="0"/>
    <n v="0"/>
    <n v="2165718.6022222224"/>
    <n v="270714.8252777778"/>
    <n v="270714.8252777778"/>
    <n v="270714.8252777778"/>
    <n v="270714.8252777778"/>
    <n v="270714.8252777778"/>
    <n v="270714.8252777778"/>
    <n v="270714.8252777778"/>
    <n v="270714.8252777778"/>
    <n v="0"/>
    <n v="0"/>
    <x v="3"/>
  </r>
  <r>
    <x v="1"/>
    <x v="21"/>
    <s v="Districts"/>
    <s v="Northern"/>
    <n v="433143.72044444445"/>
    <n v="433143.72044444445"/>
    <n v="433143.72044444445"/>
    <n v="433143.72044444445"/>
    <n v="433143.72044444445"/>
    <n v="433143.72044444445"/>
    <n v="433143.72044444445"/>
    <n v="433143.72044444445"/>
    <n v="0"/>
    <n v="0"/>
    <n v="3465149.7635555561"/>
    <n v="433143.72044444445"/>
    <n v="433143.72044444445"/>
    <n v="433143.72044444445"/>
    <n v="433143.72044444445"/>
    <n v="433143.72044444445"/>
    <n v="433143.72044444445"/>
    <n v="433143.72044444445"/>
    <n v="433143.72044444445"/>
    <n v="0"/>
    <n v="0"/>
    <x v="3"/>
  </r>
  <r>
    <x v="1"/>
    <x v="21"/>
    <s v="Districts"/>
    <s v="North Western"/>
    <n v="379000.75538888894"/>
    <n v="379000.75538888894"/>
    <n v="379000.75538888894"/>
    <n v="379000.75538888894"/>
    <n v="379000.75538888894"/>
    <n v="379000.75538888894"/>
    <n v="379000.75538888894"/>
    <n v="379000.75538888894"/>
    <n v="0"/>
    <n v="0"/>
    <n v="3032006.0431111115"/>
    <n v="379000.75538888894"/>
    <n v="379000.75538888894"/>
    <n v="379000.75538888894"/>
    <n v="379000.75538888894"/>
    <n v="379000.75538888894"/>
    <n v="379000.75538888894"/>
    <n v="379000.75538888894"/>
    <n v="379000.75538888894"/>
    <n v="0"/>
    <n v="0"/>
    <x v="3"/>
  </r>
  <r>
    <x v="1"/>
    <x v="21"/>
    <s v="Districts"/>
    <s v="Southern"/>
    <n v="595572.61561111116"/>
    <n v="595572.61561111116"/>
    <n v="595572.61561111116"/>
    <n v="595572.61561111116"/>
    <n v="595572.61561111116"/>
    <n v="595572.61561111116"/>
    <n v="595572.61561111116"/>
    <n v="595572.61561111116"/>
    <n v="0"/>
    <n v="0"/>
    <n v="4764580.9248888893"/>
    <n v="595572.61561111116"/>
    <n v="595572.61561111116"/>
    <n v="595572.61561111116"/>
    <n v="595572.61561111116"/>
    <n v="595572.61561111116"/>
    <n v="595572.61561111116"/>
    <n v="595572.61561111116"/>
    <n v="595572.61561111116"/>
    <n v="0"/>
    <n v="0"/>
    <x v="3"/>
  </r>
  <r>
    <x v="1"/>
    <x v="21"/>
    <s v="Districts"/>
    <s v="Western"/>
    <n v="379000.75538888894"/>
    <n v="379000.75538888894"/>
    <n v="379000.75538888894"/>
    <n v="379000.75538888894"/>
    <n v="379000.75538888894"/>
    <n v="379000.75538888894"/>
    <n v="379000.75538888894"/>
    <n v="379000.75538888894"/>
    <n v="0"/>
    <n v="0"/>
    <n v="3032006.0431111115"/>
    <n v="379000.75538888894"/>
    <n v="379000.75538888894"/>
    <n v="379000.75538888894"/>
    <n v="379000.75538888894"/>
    <n v="379000.75538888894"/>
    <n v="379000.75538888894"/>
    <n v="379000.75538888894"/>
    <n v="379000.75538888894"/>
    <n v="0"/>
    <n v="0"/>
    <x v="3"/>
  </r>
  <r>
    <x v="1"/>
    <x v="21"/>
    <s v="Districts"/>
    <n v="0"/>
    <n v="0"/>
    <n v="0"/>
    <n v="0"/>
    <n v="0"/>
    <n v="0"/>
    <n v="0"/>
    <n v="0"/>
    <n v="0"/>
    <n v="0"/>
    <n v="0"/>
    <n v="0"/>
    <n v="0"/>
    <n v="0"/>
    <n v="0"/>
    <n v="0"/>
    <n v="0"/>
    <n v="0"/>
    <n v="0"/>
    <n v="0"/>
    <n v="0"/>
    <n v="0"/>
    <x v="3"/>
  </r>
  <r>
    <x v="1"/>
    <x v="21"/>
    <s v="Districts"/>
    <n v="0"/>
    <n v="0"/>
    <n v="0"/>
    <n v="0"/>
    <n v="0"/>
    <n v="0"/>
    <n v="0"/>
    <n v="0"/>
    <n v="0"/>
    <n v="0"/>
    <n v="0"/>
    <n v="0"/>
    <n v="0"/>
    <n v="0"/>
    <n v="0"/>
    <n v="0"/>
    <n v="0"/>
    <n v="0"/>
    <n v="0"/>
    <n v="0"/>
    <n v="0"/>
    <n v="0"/>
    <x v="3"/>
  </r>
  <r>
    <x v="1"/>
    <x v="21"/>
    <s v="Districts"/>
    <n v="0"/>
    <n v="0"/>
    <n v="0"/>
    <n v="0"/>
    <n v="0"/>
    <n v="0"/>
    <n v="0"/>
    <n v="0"/>
    <n v="0"/>
    <n v="0"/>
    <n v="0"/>
    <n v="0"/>
    <n v="0"/>
    <n v="0"/>
    <n v="0"/>
    <n v="0"/>
    <n v="0"/>
    <n v="0"/>
    <n v="0"/>
    <n v="0"/>
    <n v="0"/>
    <n v="0"/>
    <x v="3"/>
  </r>
  <r>
    <x v="1"/>
    <x v="21"/>
    <s v="Districts"/>
    <n v="0"/>
    <n v="0"/>
    <n v="0"/>
    <n v="0"/>
    <n v="0"/>
    <n v="0"/>
    <n v="0"/>
    <n v="0"/>
    <n v="0"/>
    <n v="0"/>
    <n v="0"/>
    <n v="0"/>
    <n v="0"/>
    <n v="0"/>
    <n v="0"/>
    <n v="0"/>
    <n v="0"/>
    <n v="0"/>
    <n v="0"/>
    <n v="0"/>
    <n v="0"/>
    <n v="0"/>
    <x v="3"/>
  </r>
  <r>
    <x v="1"/>
    <x v="21"/>
    <s v="Districts"/>
    <n v="0"/>
    <n v="0"/>
    <n v="0"/>
    <n v="0"/>
    <n v="0"/>
    <n v="0"/>
    <n v="0"/>
    <n v="0"/>
    <n v="0"/>
    <n v="0"/>
    <n v="0"/>
    <n v="0"/>
    <n v="0"/>
    <n v="0"/>
    <n v="0"/>
    <n v="0"/>
    <n v="0"/>
    <n v="0"/>
    <n v="0"/>
    <n v="0"/>
    <n v="0"/>
    <n v="0"/>
    <x v="3"/>
  </r>
  <r>
    <x v="1"/>
    <x v="21"/>
    <s v="Districts"/>
    <s v="National-level"/>
    <n v="0"/>
    <n v="0"/>
    <n v="0"/>
    <n v="0"/>
    <n v="0"/>
    <n v="0"/>
    <n v="0"/>
    <n v="0"/>
    <n v="0"/>
    <n v="0"/>
    <n v="0"/>
    <n v="0"/>
    <n v="0"/>
    <n v="0"/>
    <n v="0"/>
    <n v="0"/>
    <n v="0"/>
    <n v="0"/>
    <n v="0"/>
    <n v="0"/>
    <n v="0"/>
    <x v="3"/>
  </r>
  <r>
    <x v="2"/>
    <x v="22"/>
    <s v="Evenly by province/region"/>
    <s v="Central"/>
    <n v="0"/>
    <n v="93403.299200000009"/>
    <n v="93403.299200000009"/>
    <n v="93403.299200000009"/>
    <n v="0"/>
    <n v="0"/>
    <n v="0"/>
    <n v="0"/>
    <n v="0"/>
    <n v="0"/>
    <n v="280209.89760000003"/>
    <n v="0"/>
    <n v="93403.299200000009"/>
    <n v="93403.299200000009"/>
    <n v="93403.299200000009"/>
    <n v="0"/>
    <n v="0"/>
    <n v="0"/>
    <n v="0"/>
    <n v="0"/>
    <n v="0"/>
    <x v="1"/>
  </r>
  <r>
    <x v="2"/>
    <x v="22"/>
    <s v="Evenly by province/region"/>
    <s v="Copperbelt"/>
    <n v="0"/>
    <n v="93403.299200000009"/>
    <n v="93403.299200000009"/>
    <n v="93403.299200000009"/>
    <n v="0"/>
    <n v="0"/>
    <n v="0"/>
    <n v="0"/>
    <n v="0"/>
    <n v="0"/>
    <n v="280209.89760000003"/>
    <n v="0"/>
    <n v="93403.299200000009"/>
    <n v="93403.299200000009"/>
    <n v="93403.299200000009"/>
    <n v="0"/>
    <n v="0"/>
    <n v="0"/>
    <n v="0"/>
    <n v="0"/>
    <n v="0"/>
    <x v="1"/>
  </r>
  <r>
    <x v="2"/>
    <x v="22"/>
    <s v="Evenly by province/region"/>
    <s v="Eastern"/>
    <n v="0"/>
    <n v="93403.299200000009"/>
    <n v="93403.299200000009"/>
    <n v="93403.299200000009"/>
    <n v="0"/>
    <n v="0"/>
    <n v="0"/>
    <n v="0"/>
    <n v="0"/>
    <n v="0"/>
    <n v="280209.89760000003"/>
    <n v="0"/>
    <n v="93403.299200000009"/>
    <n v="93403.299200000009"/>
    <n v="93403.299200000009"/>
    <n v="0"/>
    <n v="0"/>
    <n v="0"/>
    <n v="0"/>
    <n v="0"/>
    <n v="0"/>
    <x v="1"/>
  </r>
  <r>
    <x v="2"/>
    <x v="22"/>
    <s v="Evenly by province/region"/>
    <s v="Luapula"/>
    <n v="0"/>
    <n v="93403.299200000009"/>
    <n v="93403.299200000009"/>
    <n v="93403.299200000009"/>
    <n v="0"/>
    <n v="0"/>
    <n v="0"/>
    <n v="0"/>
    <n v="0"/>
    <n v="0"/>
    <n v="280209.89760000003"/>
    <n v="0"/>
    <n v="93403.299200000009"/>
    <n v="93403.299200000009"/>
    <n v="93403.299200000009"/>
    <n v="0"/>
    <n v="0"/>
    <n v="0"/>
    <n v="0"/>
    <n v="0"/>
    <n v="0"/>
    <x v="1"/>
  </r>
  <r>
    <x v="2"/>
    <x v="22"/>
    <s v="Evenly by province/region"/>
    <s v="Lusaka"/>
    <n v="0"/>
    <n v="93403.299200000009"/>
    <n v="93403.299200000009"/>
    <n v="93403.299200000009"/>
    <n v="0"/>
    <n v="0"/>
    <n v="0"/>
    <n v="0"/>
    <n v="0"/>
    <n v="0"/>
    <n v="280209.89760000003"/>
    <n v="0"/>
    <n v="93403.299200000009"/>
    <n v="93403.299200000009"/>
    <n v="93403.299200000009"/>
    <n v="0"/>
    <n v="0"/>
    <n v="0"/>
    <n v="0"/>
    <n v="0"/>
    <n v="0"/>
    <x v="1"/>
  </r>
  <r>
    <x v="2"/>
    <x v="22"/>
    <s v="Evenly by province/region"/>
    <s v="Muchinga"/>
    <n v="0"/>
    <n v="93403.299200000009"/>
    <n v="93403.299200000009"/>
    <n v="93403.299200000009"/>
    <n v="0"/>
    <n v="0"/>
    <n v="0"/>
    <n v="0"/>
    <n v="0"/>
    <n v="0"/>
    <n v="280209.89760000003"/>
    <n v="0"/>
    <n v="93403.299200000009"/>
    <n v="93403.299200000009"/>
    <n v="93403.299200000009"/>
    <n v="0"/>
    <n v="0"/>
    <n v="0"/>
    <n v="0"/>
    <n v="0"/>
    <n v="0"/>
    <x v="1"/>
  </r>
  <r>
    <x v="2"/>
    <x v="22"/>
    <s v="Evenly by province/region"/>
    <s v="Northern"/>
    <n v="0"/>
    <n v="93403.299200000009"/>
    <n v="93403.299200000009"/>
    <n v="93403.299200000009"/>
    <n v="0"/>
    <n v="0"/>
    <n v="0"/>
    <n v="0"/>
    <n v="0"/>
    <n v="0"/>
    <n v="280209.89760000003"/>
    <n v="0"/>
    <n v="93403.299200000009"/>
    <n v="93403.299200000009"/>
    <n v="93403.299200000009"/>
    <n v="0"/>
    <n v="0"/>
    <n v="0"/>
    <n v="0"/>
    <n v="0"/>
    <n v="0"/>
    <x v="1"/>
  </r>
  <r>
    <x v="2"/>
    <x v="22"/>
    <s v="Evenly by province/region"/>
    <s v="North Western"/>
    <n v="0"/>
    <n v="93403.299200000009"/>
    <n v="93403.299200000009"/>
    <n v="93403.299200000009"/>
    <n v="0"/>
    <n v="0"/>
    <n v="0"/>
    <n v="0"/>
    <n v="0"/>
    <n v="0"/>
    <n v="280209.89760000003"/>
    <n v="0"/>
    <n v="93403.299200000009"/>
    <n v="93403.299200000009"/>
    <n v="93403.299200000009"/>
    <n v="0"/>
    <n v="0"/>
    <n v="0"/>
    <n v="0"/>
    <n v="0"/>
    <n v="0"/>
    <x v="1"/>
  </r>
  <r>
    <x v="2"/>
    <x v="22"/>
    <s v="Evenly by province/region"/>
    <s v="Southern"/>
    <n v="0"/>
    <n v="93403.299200000009"/>
    <n v="93403.299200000009"/>
    <n v="93403.299200000009"/>
    <n v="0"/>
    <n v="0"/>
    <n v="0"/>
    <n v="0"/>
    <n v="0"/>
    <n v="0"/>
    <n v="280209.89760000003"/>
    <n v="0"/>
    <n v="93403.299200000009"/>
    <n v="93403.299200000009"/>
    <n v="93403.299200000009"/>
    <n v="0"/>
    <n v="0"/>
    <n v="0"/>
    <n v="0"/>
    <n v="0"/>
    <n v="0"/>
    <x v="1"/>
  </r>
  <r>
    <x v="2"/>
    <x v="22"/>
    <s v="Evenly by province/region"/>
    <s v="Western"/>
    <n v="0"/>
    <n v="93403.299200000009"/>
    <n v="93403.299200000009"/>
    <n v="93403.299200000009"/>
    <n v="0"/>
    <n v="0"/>
    <n v="0"/>
    <n v="0"/>
    <n v="0"/>
    <n v="0"/>
    <n v="280209.89760000003"/>
    <n v="0"/>
    <n v="93403.299200000009"/>
    <n v="93403.299200000009"/>
    <n v="93403.299200000009"/>
    <n v="0"/>
    <n v="0"/>
    <n v="0"/>
    <n v="0"/>
    <n v="0"/>
    <n v="0"/>
    <x v="1"/>
  </r>
  <r>
    <x v="2"/>
    <x v="22"/>
    <s v="Evenly by province/region"/>
    <n v="0"/>
    <n v="0"/>
    <n v="0"/>
    <n v="0"/>
    <n v="0"/>
    <n v="0"/>
    <n v="0"/>
    <n v="0"/>
    <n v="0"/>
    <n v="0"/>
    <n v="0"/>
    <n v="0"/>
    <n v="0"/>
    <n v="0"/>
    <n v="0"/>
    <n v="0"/>
    <n v="0"/>
    <n v="0"/>
    <n v="0"/>
    <n v="0"/>
    <n v="0"/>
    <n v="0"/>
    <x v="1"/>
  </r>
  <r>
    <x v="2"/>
    <x v="22"/>
    <s v="Evenly by province/region"/>
    <n v="0"/>
    <n v="0"/>
    <n v="0"/>
    <n v="0"/>
    <n v="0"/>
    <n v="0"/>
    <n v="0"/>
    <n v="0"/>
    <n v="0"/>
    <n v="0"/>
    <n v="0"/>
    <n v="0"/>
    <n v="0"/>
    <n v="0"/>
    <n v="0"/>
    <n v="0"/>
    <n v="0"/>
    <n v="0"/>
    <n v="0"/>
    <n v="0"/>
    <n v="0"/>
    <n v="0"/>
    <x v="1"/>
  </r>
  <r>
    <x v="2"/>
    <x v="22"/>
    <s v="Evenly by province/region"/>
    <n v="0"/>
    <n v="0"/>
    <n v="0"/>
    <n v="0"/>
    <n v="0"/>
    <n v="0"/>
    <n v="0"/>
    <n v="0"/>
    <n v="0"/>
    <n v="0"/>
    <n v="0"/>
    <n v="0"/>
    <n v="0"/>
    <n v="0"/>
    <n v="0"/>
    <n v="0"/>
    <n v="0"/>
    <n v="0"/>
    <n v="0"/>
    <n v="0"/>
    <n v="0"/>
    <n v="0"/>
    <x v="1"/>
  </r>
  <r>
    <x v="2"/>
    <x v="22"/>
    <s v="Evenly by province/region"/>
    <n v="0"/>
    <n v="0"/>
    <n v="0"/>
    <n v="0"/>
    <n v="0"/>
    <n v="0"/>
    <n v="0"/>
    <n v="0"/>
    <n v="0"/>
    <n v="0"/>
    <n v="0"/>
    <n v="0"/>
    <n v="0"/>
    <n v="0"/>
    <n v="0"/>
    <n v="0"/>
    <n v="0"/>
    <n v="0"/>
    <n v="0"/>
    <n v="0"/>
    <n v="0"/>
    <n v="0"/>
    <x v="1"/>
  </r>
  <r>
    <x v="2"/>
    <x v="22"/>
    <s v="Evenly by province/region"/>
    <n v="0"/>
    <n v="0"/>
    <n v="0"/>
    <n v="0"/>
    <n v="0"/>
    <n v="0"/>
    <n v="0"/>
    <n v="0"/>
    <n v="0"/>
    <n v="0"/>
    <n v="0"/>
    <n v="0"/>
    <n v="0"/>
    <n v="0"/>
    <n v="0"/>
    <n v="0"/>
    <n v="0"/>
    <n v="0"/>
    <n v="0"/>
    <n v="0"/>
    <n v="0"/>
    <n v="0"/>
    <x v="1"/>
  </r>
  <r>
    <x v="2"/>
    <x v="22"/>
    <s v="Evenly by province/region"/>
    <s v="National-level"/>
    <n v="0"/>
    <n v="0"/>
    <n v="0"/>
    <n v="0"/>
    <n v="0"/>
    <n v="0"/>
    <n v="0"/>
    <n v="0"/>
    <n v="0"/>
    <n v="0"/>
    <n v="0"/>
    <n v="0"/>
    <n v="0"/>
    <n v="0"/>
    <n v="0"/>
    <n v="0"/>
    <n v="0"/>
    <n v="0"/>
    <n v="0"/>
    <n v="0"/>
    <n v="0"/>
    <x v="1"/>
  </r>
  <r>
    <x v="1"/>
    <x v="23"/>
    <s v="Evenly by province/region"/>
    <s v="Central"/>
    <n v="0"/>
    <n v="66765.600000000006"/>
    <n v="0"/>
    <n v="0"/>
    <n v="0"/>
    <n v="66765.600000000006"/>
    <n v="0"/>
    <n v="0"/>
    <n v="0"/>
    <n v="0"/>
    <n v="133531.20000000001"/>
    <n v="0"/>
    <n v="66765.600000000006"/>
    <n v="0"/>
    <n v="0"/>
    <n v="0"/>
    <n v="66765.600000000006"/>
    <n v="0"/>
    <n v="0"/>
    <n v="0"/>
    <n v="0"/>
    <x v="3"/>
  </r>
  <r>
    <x v="1"/>
    <x v="23"/>
    <s v="Evenly by province/region"/>
    <s v="Copperbelt"/>
    <n v="0"/>
    <n v="66765.600000000006"/>
    <n v="0"/>
    <n v="0"/>
    <n v="0"/>
    <n v="66765.600000000006"/>
    <n v="0"/>
    <n v="0"/>
    <n v="0"/>
    <n v="0"/>
    <n v="133531.20000000001"/>
    <n v="0"/>
    <n v="66765.600000000006"/>
    <n v="0"/>
    <n v="0"/>
    <n v="0"/>
    <n v="66765.600000000006"/>
    <n v="0"/>
    <n v="0"/>
    <n v="0"/>
    <n v="0"/>
    <x v="3"/>
  </r>
  <r>
    <x v="1"/>
    <x v="23"/>
    <s v="Evenly by province/region"/>
    <s v="Eastern"/>
    <n v="0"/>
    <n v="66765.600000000006"/>
    <n v="0"/>
    <n v="0"/>
    <n v="0"/>
    <n v="66765.600000000006"/>
    <n v="0"/>
    <n v="0"/>
    <n v="0"/>
    <n v="0"/>
    <n v="133531.20000000001"/>
    <n v="0"/>
    <n v="66765.600000000006"/>
    <n v="0"/>
    <n v="0"/>
    <n v="0"/>
    <n v="66765.600000000006"/>
    <n v="0"/>
    <n v="0"/>
    <n v="0"/>
    <n v="0"/>
    <x v="3"/>
  </r>
  <r>
    <x v="1"/>
    <x v="23"/>
    <s v="Evenly by province/region"/>
    <s v="Luapula"/>
    <n v="0"/>
    <n v="66765.600000000006"/>
    <n v="0"/>
    <n v="0"/>
    <n v="0"/>
    <n v="66765.600000000006"/>
    <n v="0"/>
    <n v="0"/>
    <n v="0"/>
    <n v="0"/>
    <n v="133531.20000000001"/>
    <n v="0"/>
    <n v="66765.600000000006"/>
    <n v="0"/>
    <n v="0"/>
    <n v="0"/>
    <n v="66765.600000000006"/>
    <n v="0"/>
    <n v="0"/>
    <n v="0"/>
    <n v="0"/>
    <x v="3"/>
  </r>
  <r>
    <x v="1"/>
    <x v="23"/>
    <s v="Evenly by province/region"/>
    <s v="Lusaka"/>
    <n v="0"/>
    <n v="66765.600000000006"/>
    <n v="0"/>
    <n v="0"/>
    <n v="0"/>
    <n v="66765.600000000006"/>
    <n v="0"/>
    <n v="0"/>
    <n v="0"/>
    <n v="0"/>
    <n v="133531.20000000001"/>
    <n v="0"/>
    <n v="66765.600000000006"/>
    <n v="0"/>
    <n v="0"/>
    <n v="0"/>
    <n v="66765.600000000006"/>
    <n v="0"/>
    <n v="0"/>
    <n v="0"/>
    <n v="0"/>
    <x v="3"/>
  </r>
  <r>
    <x v="1"/>
    <x v="23"/>
    <s v="Evenly by province/region"/>
    <s v="Muchinga"/>
    <n v="0"/>
    <n v="66765.600000000006"/>
    <n v="0"/>
    <n v="0"/>
    <n v="0"/>
    <n v="66765.600000000006"/>
    <n v="0"/>
    <n v="0"/>
    <n v="0"/>
    <n v="0"/>
    <n v="133531.20000000001"/>
    <n v="0"/>
    <n v="66765.600000000006"/>
    <n v="0"/>
    <n v="0"/>
    <n v="0"/>
    <n v="66765.600000000006"/>
    <n v="0"/>
    <n v="0"/>
    <n v="0"/>
    <n v="0"/>
    <x v="3"/>
  </r>
  <r>
    <x v="1"/>
    <x v="23"/>
    <s v="Evenly by province/region"/>
    <s v="Northern"/>
    <n v="0"/>
    <n v="66765.600000000006"/>
    <n v="0"/>
    <n v="0"/>
    <n v="0"/>
    <n v="66765.600000000006"/>
    <n v="0"/>
    <n v="0"/>
    <n v="0"/>
    <n v="0"/>
    <n v="133531.20000000001"/>
    <n v="0"/>
    <n v="66765.600000000006"/>
    <n v="0"/>
    <n v="0"/>
    <n v="0"/>
    <n v="66765.600000000006"/>
    <n v="0"/>
    <n v="0"/>
    <n v="0"/>
    <n v="0"/>
    <x v="3"/>
  </r>
  <r>
    <x v="1"/>
    <x v="23"/>
    <s v="Evenly by province/region"/>
    <s v="North Western"/>
    <n v="0"/>
    <n v="66765.600000000006"/>
    <n v="0"/>
    <n v="0"/>
    <n v="0"/>
    <n v="66765.600000000006"/>
    <n v="0"/>
    <n v="0"/>
    <n v="0"/>
    <n v="0"/>
    <n v="133531.20000000001"/>
    <n v="0"/>
    <n v="66765.600000000006"/>
    <n v="0"/>
    <n v="0"/>
    <n v="0"/>
    <n v="66765.600000000006"/>
    <n v="0"/>
    <n v="0"/>
    <n v="0"/>
    <n v="0"/>
    <x v="3"/>
  </r>
  <r>
    <x v="1"/>
    <x v="23"/>
    <s v="Evenly by province/region"/>
    <s v="Southern"/>
    <n v="0"/>
    <n v="66765.600000000006"/>
    <n v="0"/>
    <n v="0"/>
    <n v="0"/>
    <n v="66765.600000000006"/>
    <n v="0"/>
    <n v="0"/>
    <n v="0"/>
    <n v="0"/>
    <n v="133531.20000000001"/>
    <n v="0"/>
    <n v="66765.600000000006"/>
    <n v="0"/>
    <n v="0"/>
    <n v="0"/>
    <n v="66765.600000000006"/>
    <n v="0"/>
    <n v="0"/>
    <n v="0"/>
    <n v="0"/>
    <x v="3"/>
  </r>
  <r>
    <x v="1"/>
    <x v="23"/>
    <s v="Evenly by province/region"/>
    <s v="Western"/>
    <n v="0"/>
    <n v="66765.600000000006"/>
    <n v="0"/>
    <n v="0"/>
    <n v="0"/>
    <n v="66765.600000000006"/>
    <n v="0"/>
    <n v="0"/>
    <n v="0"/>
    <n v="0"/>
    <n v="133531.20000000001"/>
    <n v="0"/>
    <n v="66765.600000000006"/>
    <n v="0"/>
    <n v="0"/>
    <n v="0"/>
    <n v="66765.600000000006"/>
    <n v="0"/>
    <n v="0"/>
    <n v="0"/>
    <n v="0"/>
    <x v="3"/>
  </r>
  <r>
    <x v="1"/>
    <x v="23"/>
    <s v="Evenly by province/region"/>
    <n v="0"/>
    <n v="0"/>
    <n v="0"/>
    <n v="0"/>
    <n v="0"/>
    <n v="0"/>
    <n v="0"/>
    <n v="0"/>
    <n v="0"/>
    <n v="0"/>
    <n v="0"/>
    <n v="0"/>
    <n v="0"/>
    <n v="0"/>
    <n v="0"/>
    <n v="0"/>
    <n v="0"/>
    <n v="0"/>
    <n v="0"/>
    <n v="0"/>
    <n v="0"/>
    <n v="0"/>
    <x v="3"/>
  </r>
  <r>
    <x v="1"/>
    <x v="23"/>
    <s v="Evenly by province/region"/>
    <n v="0"/>
    <n v="0"/>
    <n v="0"/>
    <n v="0"/>
    <n v="0"/>
    <n v="0"/>
    <n v="0"/>
    <n v="0"/>
    <n v="0"/>
    <n v="0"/>
    <n v="0"/>
    <n v="0"/>
    <n v="0"/>
    <n v="0"/>
    <n v="0"/>
    <n v="0"/>
    <n v="0"/>
    <n v="0"/>
    <n v="0"/>
    <n v="0"/>
    <n v="0"/>
    <n v="0"/>
    <x v="3"/>
  </r>
  <r>
    <x v="1"/>
    <x v="23"/>
    <s v="Evenly by province/region"/>
    <n v="0"/>
    <n v="0"/>
    <n v="0"/>
    <n v="0"/>
    <n v="0"/>
    <n v="0"/>
    <n v="0"/>
    <n v="0"/>
    <n v="0"/>
    <n v="0"/>
    <n v="0"/>
    <n v="0"/>
    <n v="0"/>
    <n v="0"/>
    <n v="0"/>
    <n v="0"/>
    <n v="0"/>
    <n v="0"/>
    <n v="0"/>
    <n v="0"/>
    <n v="0"/>
    <n v="0"/>
    <x v="3"/>
  </r>
  <r>
    <x v="1"/>
    <x v="23"/>
    <s v="Evenly by province/region"/>
    <n v="0"/>
    <n v="0"/>
    <n v="0"/>
    <n v="0"/>
    <n v="0"/>
    <n v="0"/>
    <n v="0"/>
    <n v="0"/>
    <n v="0"/>
    <n v="0"/>
    <n v="0"/>
    <n v="0"/>
    <n v="0"/>
    <n v="0"/>
    <n v="0"/>
    <n v="0"/>
    <n v="0"/>
    <n v="0"/>
    <n v="0"/>
    <n v="0"/>
    <n v="0"/>
    <n v="0"/>
    <x v="3"/>
  </r>
  <r>
    <x v="1"/>
    <x v="23"/>
    <s v="Evenly by province/region"/>
    <n v="0"/>
    <n v="0"/>
    <n v="0"/>
    <n v="0"/>
    <n v="0"/>
    <n v="0"/>
    <n v="0"/>
    <n v="0"/>
    <n v="0"/>
    <n v="0"/>
    <n v="0"/>
    <n v="0"/>
    <n v="0"/>
    <n v="0"/>
    <n v="0"/>
    <n v="0"/>
    <n v="0"/>
    <n v="0"/>
    <n v="0"/>
    <n v="0"/>
    <n v="0"/>
    <n v="0"/>
    <x v="3"/>
  </r>
  <r>
    <x v="1"/>
    <x v="23"/>
    <s v="Evenly by province/region"/>
    <s v="National-level"/>
    <n v="0"/>
    <n v="0"/>
    <n v="0"/>
    <n v="0"/>
    <n v="0"/>
    <n v="0"/>
    <n v="0"/>
    <n v="0"/>
    <n v="0"/>
    <n v="0"/>
    <n v="0"/>
    <n v="0"/>
    <n v="0"/>
    <n v="0"/>
    <n v="0"/>
    <n v="0"/>
    <n v="0"/>
    <n v="0"/>
    <n v="0"/>
    <n v="0"/>
    <n v="0"/>
    <x v="3"/>
  </r>
  <r>
    <x v="1"/>
    <x v="24"/>
    <s v="Population"/>
    <s v="Central"/>
    <n v="0"/>
    <n v="5044.2402667662109"/>
    <n v="5044.2402667662109"/>
    <n v="5044.2402667662109"/>
    <n v="0"/>
    <n v="0"/>
    <n v="0"/>
    <n v="0"/>
    <n v="0"/>
    <n v="0"/>
    <n v="15132.720800298634"/>
    <n v="0"/>
    <n v="5044.2402667662109"/>
    <n v="5044.2402667662109"/>
    <n v="5044.2402667662109"/>
    <n v="0"/>
    <n v="0"/>
    <n v="0"/>
    <n v="0"/>
    <n v="0"/>
    <n v="0"/>
    <x v="4"/>
  </r>
  <r>
    <x v="1"/>
    <x v="24"/>
    <s v="Population"/>
    <s v="Copperbelt"/>
    <n v="0"/>
    <n v="7792.8234938822807"/>
    <n v="7792.8234938822807"/>
    <n v="7792.8234938822807"/>
    <n v="0"/>
    <n v="0"/>
    <n v="0"/>
    <n v="0"/>
    <n v="0"/>
    <n v="0"/>
    <n v="23378.470481646844"/>
    <n v="0"/>
    <n v="7792.8234938822807"/>
    <n v="7792.8234938822807"/>
    <n v="7792.8234938822807"/>
    <n v="0"/>
    <n v="0"/>
    <n v="0"/>
    <n v="0"/>
    <n v="0"/>
    <n v="0"/>
    <x v="4"/>
  </r>
  <r>
    <x v="1"/>
    <x v="24"/>
    <s v="Population"/>
    <s v="Eastern"/>
    <n v="0"/>
    <n v="6794.5930676965809"/>
    <n v="6794.5930676965809"/>
    <n v="6794.5930676965809"/>
    <n v="0"/>
    <n v="0"/>
    <n v="0"/>
    <n v="0"/>
    <n v="0"/>
    <n v="0"/>
    <n v="20383.779203089744"/>
    <n v="0"/>
    <n v="6794.5930676965809"/>
    <n v="6794.5930676965809"/>
    <n v="6794.5930676965809"/>
    <n v="0"/>
    <n v="0"/>
    <n v="0"/>
    <n v="0"/>
    <n v="0"/>
    <n v="0"/>
    <x v="4"/>
  </r>
  <r>
    <x v="1"/>
    <x v="24"/>
    <s v="Population"/>
    <s v="Luapula"/>
    <n v="0"/>
    <n v="3815.502372263194"/>
    <n v="3815.502372263194"/>
    <n v="3815.502372263194"/>
    <n v="0"/>
    <n v="0"/>
    <n v="0"/>
    <n v="0"/>
    <n v="0"/>
    <n v="0"/>
    <n v="11446.507116789582"/>
    <n v="0"/>
    <n v="3815.502372263194"/>
    <n v="3815.502372263194"/>
    <n v="3815.502372263194"/>
    <n v="0"/>
    <n v="0"/>
    <n v="0"/>
    <n v="0"/>
    <n v="0"/>
    <n v="0"/>
    <x v="4"/>
  </r>
  <r>
    <x v="1"/>
    <x v="24"/>
    <s v="Population"/>
    <s v="Lusaka"/>
    <n v="0"/>
    <n v="8749.2017053578766"/>
    <n v="8749.2017053578766"/>
    <n v="8749.2017053578766"/>
    <n v="0"/>
    <n v="0"/>
    <n v="0"/>
    <n v="0"/>
    <n v="0"/>
    <n v="0"/>
    <n v="26247.605116073632"/>
    <n v="0"/>
    <n v="8749.2017053578766"/>
    <n v="8749.2017053578766"/>
    <n v="8749.2017053578766"/>
    <n v="0"/>
    <n v="0"/>
    <n v="0"/>
    <n v="0"/>
    <n v="0"/>
    <n v="0"/>
    <x v="4"/>
  </r>
  <r>
    <x v="1"/>
    <x v="24"/>
    <s v="Population"/>
    <s v="Muchinga"/>
    <n v="0"/>
    <n v="2692.6790717126778"/>
    <n v="2692.6790717126778"/>
    <n v="2692.6790717126778"/>
    <n v="0"/>
    <n v="0"/>
    <n v="0"/>
    <n v="0"/>
    <n v="0"/>
    <n v="0"/>
    <n v="8078.0372151380334"/>
    <n v="0"/>
    <n v="2692.6790717126778"/>
    <n v="2692.6790717126778"/>
    <n v="2692.6790717126778"/>
    <n v="0"/>
    <n v="0"/>
    <n v="0"/>
    <n v="0"/>
    <n v="0"/>
    <n v="0"/>
    <x v="4"/>
  </r>
  <r>
    <x v="1"/>
    <x v="24"/>
    <s v="Population"/>
    <s v="Northern"/>
    <n v="0"/>
    <n v="728100.42099110817"/>
    <n v="728100.42099110817"/>
    <n v="728100.42099110817"/>
    <n v="0"/>
    <n v="0"/>
    <n v="0"/>
    <n v="0"/>
    <n v="0"/>
    <n v="0"/>
    <n v="2184301.2629733244"/>
    <n v="0"/>
    <n v="728100.42099110817"/>
    <n v="728100.42099110817"/>
    <n v="728100.42099110817"/>
    <n v="0"/>
    <n v="0"/>
    <n v="0"/>
    <n v="0"/>
    <n v="0"/>
    <n v="0"/>
    <x v="4"/>
  </r>
  <r>
    <x v="1"/>
    <x v="24"/>
    <s v="Population"/>
    <s v="North Western"/>
    <n v="0"/>
    <n v="2810.8184531352199"/>
    <n v="2810.8184531352199"/>
    <n v="2810.8184531352199"/>
    <n v="0"/>
    <n v="0"/>
    <n v="0"/>
    <n v="0"/>
    <n v="0"/>
    <n v="0"/>
    <n v="8432.4553594056597"/>
    <n v="0"/>
    <n v="2810.8184531352199"/>
    <n v="2810.8184531352199"/>
    <n v="2810.8184531352199"/>
    <n v="0"/>
    <n v="0"/>
    <n v="0"/>
    <n v="0"/>
    <n v="0"/>
    <n v="0"/>
    <x v="4"/>
  </r>
  <r>
    <x v="1"/>
    <x v="24"/>
    <s v="Population"/>
    <s v="Southern"/>
    <n v="0"/>
    <n v="6392.9884618967471"/>
    <n v="6392.9884618967471"/>
    <n v="6392.9884618967471"/>
    <n v="0"/>
    <n v="0"/>
    <n v="0"/>
    <n v="0"/>
    <n v="0"/>
    <n v="0"/>
    <n v="19178.965385690241"/>
    <n v="0"/>
    <n v="6392.9884618967471"/>
    <n v="6392.9884618967471"/>
    <n v="6392.9884618967471"/>
    <n v="0"/>
    <n v="0"/>
    <n v="0"/>
    <n v="0"/>
    <n v="0"/>
    <n v="0"/>
    <x v="4"/>
  </r>
  <r>
    <x v="1"/>
    <x v="24"/>
    <s v="Population"/>
    <s v="Western"/>
    <n v="0"/>
    <n v="3507.3421161811557"/>
    <n v="3507.3421161811557"/>
    <n v="3507.3421161811557"/>
    <n v="0"/>
    <n v="0"/>
    <n v="0"/>
    <n v="0"/>
    <n v="0"/>
    <n v="0"/>
    <n v="10522.026348543466"/>
    <n v="0"/>
    <n v="3507.3421161811557"/>
    <n v="3507.3421161811557"/>
    <n v="3507.3421161811557"/>
    <n v="0"/>
    <n v="0"/>
    <n v="0"/>
    <n v="0"/>
    <n v="0"/>
    <n v="0"/>
    <x v="4"/>
  </r>
  <r>
    <x v="1"/>
    <x v="24"/>
    <s v="Population"/>
    <n v="0"/>
    <n v="0"/>
    <n v="0"/>
    <n v="0"/>
    <n v="0"/>
    <n v="0"/>
    <n v="0"/>
    <n v="0"/>
    <n v="0"/>
    <n v="0"/>
    <n v="0"/>
    <n v="0"/>
    <n v="0"/>
    <n v="0"/>
    <n v="0"/>
    <n v="0"/>
    <n v="0"/>
    <n v="0"/>
    <n v="0"/>
    <n v="0"/>
    <n v="0"/>
    <n v="0"/>
    <x v="4"/>
  </r>
  <r>
    <x v="1"/>
    <x v="24"/>
    <s v="Population"/>
    <n v="0"/>
    <n v="0"/>
    <n v="0"/>
    <n v="0"/>
    <n v="0"/>
    <n v="0"/>
    <n v="0"/>
    <n v="0"/>
    <n v="0"/>
    <n v="0"/>
    <n v="0"/>
    <n v="0"/>
    <n v="0"/>
    <n v="0"/>
    <n v="0"/>
    <n v="0"/>
    <n v="0"/>
    <n v="0"/>
    <n v="0"/>
    <n v="0"/>
    <n v="0"/>
    <n v="0"/>
    <x v="4"/>
  </r>
  <r>
    <x v="1"/>
    <x v="24"/>
    <s v="Population"/>
    <n v="0"/>
    <n v="0"/>
    <n v="0"/>
    <n v="0"/>
    <n v="0"/>
    <n v="0"/>
    <n v="0"/>
    <n v="0"/>
    <n v="0"/>
    <n v="0"/>
    <n v="0"/>
    <n v="0"/>
    <n v="0"/>
    <n v="0"/>
    <n v="0"/>
    <n v="0"/>
    <n v="0"/>
    <n v="0"/>
    <n v="0"/>
    <n v="0"/>
    <n v="0"/>
    <n v="0"/>
    <x v="4"/>
  </r>
  <r>
    <x v="1"/>
    <x v="24"/>
    <s v="Population"/>
    <n v="0"/>
    <n v="0"/>
    <n v="0"/>
    <n v="0"/>
    <n v="0"/>
    <n v="0"/>
    <n v="0"/>
    <n v="0"/>
    <n v="0"/>
    <n v="0"/>
    <n v="0"/>
    <n v="0"/>
    <n v="0"/>
    <n v="0"/>
    <n v="0"/>
    <n v="0"/>
    <n v="0"/>
    <n v="0"/>
    <n v="0"/>
    <n v="0"/>
    <n v="0"/>
    <n v="0"/>
    <x v="4"/>
  </r>
  <r>
    <x v="1"/>
    <x v="24"/>
    <s v="Population"/>
    <n v="0"/>
    <n v="0"/>
    <n v="0"/>
    <n v="0"/>
    <n v="0"/>
    <n v="0"/>
    <n v="0"/>
    <n v="0"/>
    <n v="0"/>
    <n v="0"/>
    <n v="0"/>
    <n v="0"/>
    <n v="0"/>
    <n v="0"/>
    <n v="0"/>
    <n v="0"/>
    <n v="0"/>
    <n v="0"/>
    <n v="0"/>
    <n v="0"/>
    <n v="0"/>
    <n v="0"/>
    <x v="4"/>
  </r>
  <r>
    <x v="1"/>
    <x v="24"/>
    <s v="Population"/>
    <s v="National-level"/>
    <n v="0"/>
    <n v="0"/>
    <n v="0"/>
    <n v="0"/>
    <n v="0"/>
    <n v="0"/>
    <n v="0"/>
    <n v="0"/>
    <n v="0"/>
    <n v="0"/>
    <n v="0"/>
    <n v="0"/>
    <n v="0"/>
    <n v="0"/>
    <n v="0"/>
    <n v="0"/>
    <n v="0"/>
    <n v="0"/>
    <n v="0"/>
    <n v="0"/>
    <n v="0"/>
    <x v="4"/>
  </r>
  <r>
    <x v="1"/>
    <x v="25"/>
    <s v="Central level"/>
    <s v="Central"/>
    <n v="0"/>
    <n v="0"/>
    <n v="0"/>
    <n v="0"/>
    <n v="0"/>
    <n v="0"/>
    <n v="0"/>
    <n v="0"/>
    <n v="0"/>
    <n v="0"/>
    <n v="0"/>
    <n v="0"/>
    <n v="0"/>
    <n v="0"/>
    <n v="0"/>
    <n v="0"/>
    <n v="0"/>
    <n v="0"/>
    <n v="0"/>
    <n v="0"/>
    <n v="0"/>
    <x v="1"/>
  </r>
  <r>
    <x v="1"/>
    <x v="25"/>
    <s v="Central level"/>
    <s v="Copperbelt"/>
    <n v="0"/>
    <n v="0"/>
    <n v="0"/>
    <n v="0"/>
    <n v="0"/>
    <n v="0"/>
    <n v="0"/>
    <n v="0"/>
    <n v="0"/>
    <n v="0"/>
    <n v="0"/>
    <n v="0"/>
    <n v="0"/>
    <n v="0"/>
    <n v="0"/>
    <n v="0"/>
    <n v="0"/>
    <n v="0"/>
    <n v="0"/>
    <n v="0"/>
    <n v="0"/>
    <x v="1"/>
  </r>
  <r>
    <x v="1"/>
    <x v="25"/>
    <s v="Central level"/>
    <s v="Eastern"/>
    <n v="0"/>
    <n v="0"/>
    <n v="0"/>
    <n v="0"/>
    <n v="0"/>
    <n v="0"/>
    <n v="0"/>
    <n v="0"/>
    <n v="0"/>
    <n v="0"/>
    <n v="0"/>
    <n v="0"/>
    <n v="0"/>
    <n v="0"/>
    <n v="0"/>
    <n v="0"/>
    <n v="0"/>
    <n v="0"/>
    <n v="0"/>
    <n v="0"/>
    <n v="0"/>
    <x v="1"/>
  </r>
  <r>
    <x v="1"/>
    <x v="25"/>
    <s v="Central level"/>
    <s v="Luapula"/>
    <n v="0"/>
    <n v="0"/>
    <n v="0"/>
    <n v="0"/>
    <n v="0"/>
    <n v="0"/>
    <n v="0"/>
    <n v="0"/>
    <n v="0"/>
    <n v="0"/>
    <n v="0"/>
    <n v="0"/>
    <n v="0"/>
    <n v="0"/>
    <n v="0"/>
    <n v="0"/>
    <n v="0"/>
    <n v="0"/>
    <n v="0"/>
    <n v="0"/>
    <n v="0"/>
    <x v="1"/>
  </r>
  <r>
    <x v="1"/>
    <x v="25"/>
    <s v="Central level"/>
    <s v="Lusaka"/>
    <n v="0"/>
    <n v="0"/>
    <n v="0"/>
    <n v="0"/>
    <n v="0"/>
    <n v="0"/>
    <n v="0"/>
    <n v="0"/>
    <n v="0"/>
    <n v="0"/>
    <n v="0"/>
    <n v="0"/>
    <n v="0"/>
    <n v="0"/>
    <n v="0"/>
    <n v="0"/>
    <n v="0"/>
    <n v="0"/>
    <n v="0"/>
    <n v="0"/>
    <n v="0"/>
    <x v="1"/>
  </r>
  <r>
    <x v="1"/>
    <x v="25"/>
    <s v="Central level"/>
    <s v="Muchinga"/>
    <n v="0"/>
    <n v="0"/>
    <n v="0"/>
    <n v="0"/>
    <n v="0"/>
    <n v="0"/>
    <n v="0"/>
    <n v="0"/>
    <n v="0"/>
    <n v="0"/>
    <n v="0"/>
    <n v="0"/>
    <n v="0"/>
    <n v="0"/>
    <n v="0"/>
    <n v="0"/>
    <n v="0"/>
    <n v="0"/>
    <n v="0"/>
    <n v="0"/>
    <n v="0"/>
    <x v="1"/>
  </r>
  <r>
    <x v="1"/>
    <x v="25"/>
    <s v="Central level"/>
    <s v="Northern"/>
    <n v="0"/>
    <n v="0"/>
    <n v="0"/>
    <n v="0"/>
    <n v="0"/>
    <n v="0"/>
    <n v="0"/>
    <n v="0"/>
    <n v="0"/>
    <n v="0"/>
    <n v="0"/>
    <n v="0"/>
    <n v="0"/>
    <n v="0"/>
    <n v="0"/>
    <n v="0"/>
    <n v="0"/>
    <n v="0"/>
    <n v="0"/>
    <n v="0"/>
    <n v="0"/>
    <x v="1"/>
  </r>
  <r>
    <x v="1"/>
    <x v="25"/>
    <s v="Central level"/>
    <s v="North Western"/>
    <n v="0"/>
    <n v="0"/>
    <n v="0"/>
    <n v="0"/>
    <n v="0"/>
    <n v="0"/>
    <n v="0"/>
    <n v="0"/>
    <n v="0"/>
    <n v="0"/>
    <n v="0"/>
    <n v="0"/>
    <n v="0"/>
    <n v="0"/>
    <n v="0"/>
    <n v="0"/>
    <n v="0"/>
    <n v="0"/>
    <n v="0"/>
    <n v="0"/>
    <n v="0"/>
    <x v="1"/>
  </r>
  <r>
    <x v="1"/>
    <x v="25"/>
    <s v="Central level"/>
    <s v="Southern"/>
    <n v="0"/>
    <n v="0"/>
    <n v="0"/>
    <n v="0"/>
    <n v="0"/>
    <n v="0"/>
    <n v="0"/>
    <n v="0"/>
    <n v="0"/>
    <n v="0"/>
    <n v="0"/>
    <n v="0"/>
    <n v="0"/>
    <n v="0"/>
    <n v="0"/>
    <n v="0"/>
    <n v="0"/>
    <n v="0"/>
    <n v="0"/>
    <n v="0"/>
    <n v="0"/>
    <x v="1"/>
  </r>
  <r>
    <x v="1"/>
    <x v="25"/>
    <s v="Central level"/>
    <s v="Western"/>
    <n v="0"/>
    <n v="0"/>
    <n v="0"/>
    <n v="0"/>
    <n v="0"/>
    <n v="0"/>
    <n v="0"/>
    <n v="0"/>
    <n v="0"/>
    <n v="0"/>
    <n v="0"/>
    <n v="0"/>
    <n v="0"/>
    <n v="0"/>
    <n v="0"/>
    <n v="0"/>
    <n v="0"/>
    <n v="0"/>
    <n v="0"/>
    <n v="0"/>
    <n v="0"/>
    <x v="1"/>
  </r>
  <r>
    <x v="1"/>
    <x v="25"/>
    <s v="Central level"/>
    <n v="0"/>
    <n v="0"/>
    <n v="0"/>
    <n v="0"/>
    <n v="0"/>
    <n v="0"/>
    <n v="0"/>
    <n v="0"/>
    <n v="0"/>
    <n v="0"/>
    <n v="0"/>
    <n v="0"/>
    <n v="0"/>
    <n v="0"/>
    <n v="0"/>
    <n v="0"/>
    <n v="0"/>
    <n v="0"/>
    <n v="0"/>
    <n v="0"/>
    <n v="0"/>
    <n v="0"/>
    <x v="1"/>
  </r>
  <r>
    <x v="1"/>
    <x v="25"/>
    <s v="Central level"/>
    <n v="0"/>
    <n v="0"/>
    <n v="0"/>
    <n v="0"/>
    <n v="0"/>
    <n v="0"/>
    <n v="0"/>
    <n v="0"/>
    <n v="0"/>
    <n v="0"/>
    <n v="0"/>
    <n v="0"/>
    <n v="0"/>
    <n v="0"/>
    <n v="0"/>
    <n v="0"/>
    <n v="0"/>
    <n v="0"/>
    <n v="0"/>
    <n v="0"/>
    <n v="0"/>
    <n v="0"/>
    <x v="1"/>
  </r>
  <r>
    <x v="1"/>
    <x v="25"/>
    <s v="Central level"/>
    <n v="0"/>
    <n v="0"/>
    <n v="0"/>
    <n v="0"/>
    <n v="0"/>
    <n v="0"/>
    <n v="0"/>
    <n v="0"/>
    <n v="0"/>
    <n v="0"/>
    <n v="0"/>
    <n v="0"/>
    <n v="0"/>
    <n v="0"/>
    <n v="0"/>
    <n v="0"/>
    <n v="0"/>
    <n v="0"/>
    <n v="0"/>
    <n v="0"/>
    <n v="0"/>
    <n v="0"/>
    <x v="1"/>
  </r>
  <r>
    <x v="1"/>
    <x v="25"/>
    <s v="Central level"/>
    <n v="0"/>
    <n v="0"/>
    <n v="0"/>
    <n v="0"/>
    <n v="0"/>
    <n v="0"/>
    <n v="0"/>
    <n v="0"/>
    <n v="0"/>
    <n v="0"/>
    <n v="0"/>
    <n v="0"/>
    <n v="0"/>
    <n v="0"/>
    <n v="0"/>
    <n v="0"/>
    <n v="0"/>
    <n v="0"/>
    <n v="0"/>
    <n v="0"/>
    <n v="0"/>
    <n v="0"/>
    <x v="1"/>
  </r>
  <r>
    <x v="1"/>
    <x v="25"/>
    <s v="Central level"/>
    <n v="0"/>
    <n v="0"/>
    <n v="0"/>
    <n v="0"/>
    <n v="0"/>
    <n v="0"/>
    <n v="0"/>
    <n v="0"/>
    <n v="0"/>
    <n v="0"/>
    <n v="0"/>
    <n v="0"/>
    <n v="0"/>
    <n v="0"/>
    <n v="0"/>
    <n v="0"/>
    <n v="0"/>
    <n v="0"/>
    <n v="0"/>
    <n v="0"/>
    <n v="0"/>
    <n v="0"/>
    <x v="1"/>
  </r>
  <r>
    <x v="1"/>
    <x v="25"/>
    <s v="Central level"/>
    <s v="National-level"/>
    <n v="0"/>
    <n v="389739.67420000001"/>
    <n v="0"/>
    <n v="0"/>
    <n v="0"/>
    <n v="0"/>
    <n v="0"/>
    <n v="0"/>
    <n v="0"/>
    <n v="0"/>
    <n v="389739.67420000001"/>
    <n v="0"/>
    <n v="389739.67420000001"/>
    <n v="0"/>
    <n v="0"/>
    <n v="0"/>
    <n v="0"/>
    <n v="0"/>
    <n v="0"/>
    <n v="0"/>
    <n v="0"/>
    <x v="1"/>
  </r>
  <r>
    <x v="1"/>
    <x v="26"/>
    <s v="Districts"/>
    <s v="Central"/>
    <n v="0"/>
    <n v="499051.6586666666"/>
    <n v="499051.6586666666"/>
    <n v="499051.6586666666"/>
    <n v="499051.6586666666"/>
    <n v="499051.6586666666"/>
    <n v="499051.6586666666"/>
    <n v="499051.6586666666"/>
    <n v="0"/>
    <n v="0"/>
    <n v="3493361.6106666662"/>
    <n v="0"/>
    <n v="499051.6586666666"/>
    <n v="499051.6586666666"/>
    <n v="499051.6586666666"/>
    <n v="499051.6586666666"/>
    <n v="499051.6586666666"/>
    <n v="499051.6586666666"/>
    <n v="499051.6586666666"/>
    <n v="0"/>
    <n v="0"/>
    <x v="4"/>
  </r>
  <r>
    <x v="1"/>
    <x v="26"/>
    <s v="Districts"/>
    <s v="Copperbelt"/>
    <n v="0"/>
    <n v="831752.76444444433"/>
    <n v="831752.76444444433"/>
    <n v="831752.76444444433"/>
    <n v="831752.76444444433"/>
    <n v="831752.76444444433"/>
    <n v="831752.76444444433"/>
    <n v="831752.76444444433"/>
    <n v="0"/>
    <n v="0"/>
    <n v="5822269.3511111103"/>
    <n v="0"/>
    <n v="831752.76444444433"/>
    <n v="831752.76444444433"/>
    <n v="831752.76444444433"/>
    <n v="831752.76444444433"/>
    <n v="831752.76444444433"/>
    <n v="831752.76444444433"/>
    <n v="831752.76444444433"/>
    <n v="0"/>
    <n v="0"/>
    <x v="4"/>
  </r>
  <r>
    <x v="1"/>
    <x v="26"/>
    <s v="Districts"/>
    <s v="Eastern"/>
    <n v="0"/>
    <n v="582226.93511111103"/>
    <n v="582226.93511111103"/>
    <n v="582226.93511111103"/>
    <n v="582226.93511111103"/>
    <n v="582226.93511111103"/>
    <n v="582226.93511111103"/>
    <n v="582226.93511111103"/>
    <n v="0"/>
    <n v="0"/>
    <n v="4075588.5457777772"/>
    <n v="0"/>
    <n v="582226.93511111103"/>
    <n v="582226.93511111103"/>
    <n v="582226.93511111103"/>
    <n v="582226.93511111103"/>
    <n v="582226.93511111103"/>
    <n v="582226.93511111103"/>
    <n v="582226.93511111103"/>
    <n v="0"/>
    <n v="0"/>
    <x v="4"/>
  </r>
  <r>
    <x v="1"/>
    <x v="26"/>
    <s v="Districts"/>
    <s v="Luapula"/>
    <n v="0"/>
    <n v="582226.93511111103"/>
    <n v="582226.93511111103"/>
    <n v="582226.93511111103"/>
    <n v="582226.93511111103"/>
    <n v="582226.93511111103"/>
    <n v="582226.93511111103"/>
    <n v="582226.93511111103"/>
    <n v="0"/>
    <n v="0"/>
    <n v="4075588.5457777772"/>
    <n v="0"/>
    <n v="582226.93511111103"/>
    <n v="582226.93511111103"/>
    <n v="582226.93511111103"/>
    <n v="582226.93511111103"/>
    <n v="582226.93511111103"/>
    <n v="582226.93511111103"/>
    <n v="582226.93511111103"/>
    <n v="0"/>
    <n v="0"/>
    <x v="4"/>
  </r>
  <r>
    <x v="1"/>
    <x v="26"/>
    <s v="Districts"/>
    <s v="Lusaka"/>
    <n v="0"/>
    <n v="332701.10577777773"/>
    <n v="332701.10577777773"/>
    <n v="332701.10577777773"/>
    <n v="332701.10577777773"/>
    <n v="332701.10577777773"/>
    <n v="332701.10577777773"/>
    <n v="332701.10577777773"/>
    <n v="0"/>
    <n v="0"/>
    <n v="2328907.7404444441"/>
    <n v="0"/>
    <n v="332701.10577777773"/>
    <n v="332701.10577777773"/>
    <n v="332701.10577777773"/>
    <n v="332701.10577777773"/>
    <n v="332701.10577777773"/>
    <n v="332701.10577777773"/>
    <n v="332701.10577777773"/>
    <n v="0"/>
    <n v="0"/>
    <x v="4"/>
  </r>
  <r>
    <x v="1"/>
    <x v="26"/>
    <s v="Districts"/>
    <s v="Muchinga"/>
    <n v="0"/>
    <n v="415876.38222222216"/>
    <n v="415876.38222222216"/>
    <n v="415876.38222222216"/>
    <n v="415876.38222222216"/>
    <n v="415876.38222222216"/>
    <n v="415876.38222222216"/>
    <n v="415876.38222222216"/>
    <n v="0"/>
    <n v="0"/>
    <n v="2911134.6755555551"/>
    <n v="0"/>
    <n v="415876.38222222216"/>
    <n v="415876.38222222216"/>
    <n v="415876.38222222216"/>
    <n v="415876.38222222216"/>
    <n v="415876.38222222216"/>
    <n v="415876.38222222216"/>
    <n v="415876.38222222216"/>
    <n v="0"/>
    <n v="0"/>
    <x v="4"/>
  </r>
  <r>
    <x v="1"/>
    <x v="26"/>
    <s v="Districts"/>
    <s v="Northern"/>
    <n v="0"/>
    <n v="665402.21155555546"/>
    <n v="665402.21155555546"/>
    <n v="665402.21155555546"/>
    <n v="665402.21155555546"/>
    <n v="665402.21155555546"/>
    <n v="665402.21155555546"/>
    <n v="665402.21155555546"/>
    <n v="0"/>
    <n v="0"/>
    <n v="4657815.4808888882"/>
    <n v="0"/>
    <n v="665402.21155555546"/>
    <n v="665402.21155555546"/>
    <n v="665402.21155555546"/>
    <n v="665402.21155555546"/>
    <n v="665402.21155555546"/>
    <n v="665402.21155555546"/>
    <n v="665402.21155555546"/>
    <n v="0"/>
    <n v="0"/>
    <x v="4"/>
  </r>
  <r>
    <x v="1"/>
    <x v="26"/>
    <s v="Districts"/>
    <s v="North Western"/>
    <n v="0"/>
    <n v="582226.93511111103"/>
    <n v="582226.93511111103"/>
    <n v="582226.93511111103"/>
    <n v="582226.93511111103"/>
    <n v="582226.93511111103"/>
    <n v="582226.93511111103"/>
    <n v="582226.93511111103"/>
    <n v="0"/>
    <n v="0"/>
    <n v="4075588.5457777772"/>
    <n v="0"/>
    <n v="582226.93511111103"/>
    <n v="582226.93511111103"/>
    <n v="582226.93511111103"/>
    <n v="582226.93511111103"/>
    <n v="582226.93511111103"/>
    <n v="582226.93511111103"/>
    <n v="582226.93511111103"/>
    <n v="0"/>
    <n v="0"/>
    <x v="4"/>
  </r>
  <r>
    <x v="1"/>
    <x v="26"/>
    <s v="Districts"/>
    <s v="Southern"/>
    <n v="0"/>
    <n v="914928.04088888888"/>
    <n v="914928.04088888888"/>
    <n v="914928.04088888888"/>
    <n v="914928.04088888888"/>
    <n v="914928.04088888888"/>
    <n v="914928.04088888888"/>
    <n v="914928.04088888888"/>
    <n v="0"/>
    <n v="0"/>
    <n v="6404496.2862222223"/>
    <n v="0"/>
    <n v="914928.04088888888"/>
    <n v="914928.04088888888"/>
    <n v="914928.04088888888"/>
    <n v="914928.04088888888"/>
    <n v="914928.04088888888"/>
    <n v="914928.04088888888"/>
    <n v="914928.04088888888"/>
    <n v="0"/>
    <n v="0"/>
    <x v="4"/>
  </r>
  <r>
    <x v="1"/>
    <x v="26"/>
    <s v="Districts"/>
    <s v="Western"/>
    <n v="0"/>
    <n v="582226.93511111103"/>
    <n v="582226.93511111103"/>
    <n v="582226.93511111103"/>
    <n v="582226.93511111103"/>
    <n v="582226.93511111103"/>
    <n v="582226.93511111103"/>
    <n v="582226.93511111103"/>
    <n v="0"/>
    <n v="0"/>
    <n v="4075588.5457777772"/>
    <n v="0"/>
    <n v="582226.93511111103"/>
    <n v="582226.93511111103"/>
    <n v="582226.93511111103"/>
    <n v="582226.93511111103"/>
    <n v="582226.93511111103"/>
    <n v="582226.93511111103"/>
    <n v="582226.93511111103"/>
    <n v="0"/>
    <n v="0"/>
    <x v="4"/>
  </r>
  <r>
    <x v="1"/>
    <x v="26"/>
    <s v="Districts"/>
    <n v="0"/>
    <n v="0"/>
    <n v="0"/>
    <n v="0"/>
    <n v="0"/>
    <n v="0"/>
    <n v="0"/>
    <n v="0"/>
    <n v="0"/>
    <n v="0"/>
    <n v="0"/>
    <n v="0"/>
    <n v="0"/>
    <n v="0"/>
    <n v="0"/>
    <n v="0"/>
    <n v="0"/>
    <n v="0"/>
    <n v="0"/>
    <n v="0"/>
    <n v="0"/>
    <n v="0"/>
    <x v="4"/>
  </r>
  <r>
    <x v="1"/>
    <x v="26"/>
    <s v="Districts"/>
    <n v="0"/>
    <n v="0"/>
    <n v="0"/>
    <n v="0"/>
    <n v="0"/>
    <n v="0"/>
    <n v="0"/>
    <n v="0"/>
    <n v="0"/>
    <n v="0"/>
    <n v="0"/>
    <n v="0"/>
    <n v="0"/>
    <n v="0"/>
    <n v="0"/>
    <n v="0"/>
    <n v="0"/>
    <n v="0"/>
    <n v="0"/>
    <n v="0"/>
    <n v="0"/>
    <n v="0"/>
    <x v="4"/>
  </r>
  <r>
    <x v="1"/>
    <x v="26"/>
    <s v="Districts"/>
    <n v="0"/>
    <n v="0"/>
    <n v="0"/>
    <n v="0"/>
    <n v="0"/>
    <n v="0"/>
    <n v="0"/>
    <n v="0"/>
    <n v="0"/>
    <n v="0"/>
    <n v="0"/>
    <n v="0"/>
    <n v="0"/>
    <n v="0"/>
    <n v="0"/>
    <n v="0"/>
    <n v="0"/>
    <n v="0"/>
    <n v="0"/>
    <n v="0"/>
    <n v="0"/>
    <n v="0"/>
    <x v="4"/>
  </r>
  <r>
    <x v="1"/>
    <x v="26"/>
    <s v="Districts"/>
    <n v="0"/>
    <n v="0"/>
    <n v="0"/>
    <n v="0"/>
    <n v="0"/>
    <n v="0"/>
    <n v="0"/>
    <n v="0"/>
    <n v="0"/>
    <n v="0"/>
    <n v="0"/>
    <n v="0"/>
    <n v="0"/>
    <n v="0"/>
    <n v="0"/>
    <n v="0"/>
    <n v="0"/>
    <n v="0"/>
    <n v="0"/>
    <n v="0"/>
    <n v="0"/>
    <n v="0"/>
    <x v="4"/>
  </r>
  <r>
    <x v="1"/>
    <x v="26"/>
    <s v="Districts"/>
    <n v="0"/>
    <n v="0"/>
    <n v="0"/>
    <n v="0"/>
    <n v="0"/>
    <n v="0"/>
    <n v="0"/>
    <n v="0"/>
    <n v="0"/>
    <n v="0"/>
    <n v="0"/>
    <n v="0"/>
    <n v="0"/>
    <n v="0"/>
    <n v="0"/>
    <n v="0"/>
    <n v="0"/>
    <n v="0"/>
    <n v="0"/>
    <n v="0"/>
    <n v="0"/>
    <n v="0"/>
    <x v="4"/>
  </r>
  <r>
    <x v="1"/>
    <x v="26"/>
    <s v="Districts"/>
    <s v="National-level"/>
    <n v="0"/>
    <n v="0"/>
    <n v="0"/>
    <n v="0"/>
    <n v="0"/>
    <n v="0"/>
    <n v="0"/>
    <n v="0"/>
    <n v="0"/>
    <n v="0"/>
    <n v="0"/>
    <n v="0"/>
    <n v="0"/>
    <n v="0"/>
    <n v="0"/>
    <n v="0"/>
    <n v="0"/>
    <n v="0"/>
    <n v="0"/>
    <n v="0"/>
    <n v="0"/>
    <x v="4"/>
  </r>
  <r>
    <x v="1"/>
    <x v="27"/>
    <s v="Evenly by province/region"/>
    <s v="Central"/>
    <n v="0"/>
    <n v="274742.20800000004"/>
    <n v="274742.20800000004"/>
    <n v="274742.20800000004"/>
    <n v="274742.20800000004"/>
    <n v="274742.20800000004"/>
    <n v="274742.20800000004"/>
    <n v="274742.20800000004"/>
    <n v="0"/>
    <n v="0"/>
    <n v="1923195.4560000005"/>
    <n v="0"/>
    <n v="274742.20800000004"/>
    <n v="274742.20800000004"/>
    <n v="274742.20800000004"/>
    <n v="274742.20800000004"/>
    <n v="274742.20800000004"/>
    <n v="274742.20800000004"/>
    <n v="274742.20800000004"/>
    <n v="0"/>
    <n v="0"/>
    <x v="4"/>
  </r>
  <r>
    <x v="1"/>
    <x v="27"/>
    <s v="Evenly by province/region"/>
    <s v="Copperbelt"/>
    <n v="0"/>
    <n v="274742.20800000004"/>
    <n v="274742.20800000004"/>
    <n v="274742.20800000004"/>
    <n v="274742.20800000004"/>
    <n v="274742.20800000004"/>
    <n v="274742.20800000004"/>
    <n v="274742.20800000004"/>
    <n v="0"/>
    <n v="0"/>
    <n v="1923195.4560000005"/>
    <n v="0"/>
    <n v="274742.20800000004"/>
    <n v="274742.20800000004"/>
    <n v="274742.20800000004"/>
    <n v="274742.20800000004"/>
    <n v="274742.20800000004"/>
    <n v="274742.20800000004"/>
    <n v="274742.20800000004"/>
    <n v="0"/>
    <n v="0"/>
    <x v="4"/>
  </r>
  <r>
    <x v="1"/>
    <x v="27"/>
    <s v="Evenly by province/region"/>
    <s v="Eastern"/>
    <n v="0"/>
    <n v="274742.20800000004"/>
    <n v="274742.20800000004"/>
    <n v="274742.20800000004"/>
    <n v="274742.20800000004"/>
    <n v="274742.20800000004"/>
    <n v="274742.20800000004"/>
    <n v="274742.20800000004"/>
    <n v="0"/>
    <n v="0"/>
    <n v="1923195.4560000005"/>
    <n v="0"/>
    <n v="274742.20800000004"/>
    <n v="274742.20800000004"/>
    <n v="274742.20800000004"/>
    <n v="274742.20800000004"/>
    <n v="274742.20800000004"/>
    <n v="274742.20800000004"/>
    <n v="274742.20800000004"/>
    <n v="0"/>
    <n v="0"/>
    <x v="4"/>
  </r>
  <r>
    <x v="1"/>
    <x v="27"/>
    <s v="Evenly by province/region"/>
    <s v="Luapula"/>
    <n v="0"/>
    <n v="274742.20800000004"/>
    <n v="274742.20800000004"/>
    <n v="274742.20800000004"/>
    <n v="274742.20800000004"/>
    <n v="274742.20800000004"/>
    <n v="274742.20800000004"/>
    <n v="274742.20800000004"/>
    <n v="0"/>
    <n v="0"/>
    <n v="1923195.4560000005"/>
    <n v="0"/>
    <n v="274742.20800000004"/>
    <n v="274742.20800000004"/>
    <n v="274742.20800000004"/>
    <n v="274742.20800000004"/>
    <n v="274742.20800000004"/>
    <n v="274742.20800000004"/>
    <n v="274742.20800000004"/>
    <n v="0"/>
    <n v="0"/>
    <x v="4"/>
  </r>
  <r>
    <x v="1"/>
    <x v="27"/>
    <s v="Evenly by province/region"/>
    <s v="Lusaka"/>
    <n v="0"/>
    <n v="274742.20800000004"/>
    <n v="274742.20800000004"/>
    <n v="274742.20800000004"/>
    <n v="274742.20800000004"/>
    <n v="274742.20800000004"/>
    <n v="274742.20800000004"/>
    <n v="274742.20800000004"/>
    <n v="0"/>
    <n v="0"/>
    <n v="1923195.4560000005"/>
    <n v="0"/>
    <n v="274742.20800000004"/>
    <n v="274742.20800000004"/>
    <n v="274742.20800000004"/>
    <n v="274742.20800000004"/>
    <n v="274742.20800000004"/>
    <n v="274742.20800000004"/>
    <n v="274742.20800000004"/>
    <n v="0"/>
    <n v="0"/>
    <x v="4"/>
  </r>
  <r>
    <x v="1"/>
    <x v="27"/>
    <s v="Evenly by province/region"/>
    <s v="Muchinga"/>
    <n v="0"/>
    <n v="274742.20800000004"/>
    <n v="274742.20800000004"/>
    <n v="274742.20800000004"/>
    <n v="274742.20800000004"/>
    <n v="274742.20800000004"/>
    <n v="274742.20800000004"/>
    <n v="274742.20800000004"/>
    <n v="0"/>
    <n v="0"/>
    <n v="1923195.4560000005"/>
    <n v="0"/>
    <n v="274742.20800000004"/>
    <n v="274742.20800000004"/>
    <n v="274742.20800000004"/>
    <n v="274742.20800000004"/>
    <n v="274742.20800000004"/>
    <n v="274742.20800000004"/>
    <n v="274742.20800000004"/>
    <n v="0"/>
    <n v="0"/>
    <x v="4"/>
  </r>
  <r>
    <x v="1"/>
    <x v="27"/>
    <s v="Evenly by province/region"/>
    <s v="Northern"/>
    <n v="0"/>
    <n v="274742.20800000004"/>
    <n v="274742.20800000004"/>
    <n v="274742.20800000004"/>
    <n v="274742.20800000004"/>
    <n v="274742.20800000004"/>
    <n v="274742.20800000004"/>
    <n v="274742.20800000004"/>
    <n v="0"/>
    <n v="0"/>
    <n v="1923195.4560000005"/>
    <n v="0"/>
    <n v="274742.20800000004"/>
    <n v="274742.20800000004"/>
    <n v="274742.20800000004"/>
    <n v="274742.20800000004"/>
    <n v="274742.20800000004"/>
    <n v="274742.20800000004"/>
    <n v="274742.20800000004"/>
    <n v="0"/>
    <n v="0"/>
    <x v="4"/>
  </r>
  <r>
    <x v="1"/>
    <x v="27"/>
    <s v="Evenly by province/region"/>
    <s v="North Western"/>
    <n v="0"/>
    <n v="274742.20800000004"/>
    <n v="274742.20800000004"/>
    <n v="274742.20800000004"/>
    <n v="274742.20800000004"/>
    <n v="274742.20800000004"/>
    <n v="274742.20800000004"/>
    <n v="274742.20800000004"/>
    <n v="0"/>
    <n v="0"/>
    <n v="1923195.4560000005"/>
    <n v="0"/>
    <n v="274742.20800000004"/>
    <n v="274742.20800000004"/>
    <n v="274742.20800000004"/>
    <n v="274742.20800000004"/>
    <n v="274742.20800000004"/>
    <n v="274742.20800000004"/>
    <n v="274742.20800000004"/>
    <n v="0"/>
    <n v="0"/>
    <x v="4"/>
  </r>
  <r>
    <x v="1"/>
    <x v="27"/>
    <s v="Evenly by province/region"/>
    <s v="Southern"/>
    <n v="0"/>
    <n v="274742.20800000004"/>
    <n v="274742.20800000004"/>
    <n v="274742.20800000004"/>
    <n v="274742.20800000004"/>
    <n v="274742.20800000004"/>
    <n v="274742.20800000004"/>
    <n v="274742.20800000004"/>
    <n v="0"/>
    <n v="0"/>
    <n v="1923195.4560000005"/>
    <n v="0"/>
    <n v="274742.20800000004"/>
    <n v="274742.20800000004"/>
    <n v="274742.20800000004"/>
    <n v="274742.20800000004"/>
    <n v="274742.20800000004"/>
    <n v="274742.20800000004"/>
    <n v="274742.20800000004"/>
    <n v="0"/>
    <n v="0"/>
    <x v="4"/>
  </r>
  <r>
    <x v="1"/>
    <x v="27"/>
    <s v="Evenly by province/region"/>
    <s v="Western"/>
    <n v="0"/>
    <n v="274742.20800000004"/>
    <n v="274742.20800000004"/>
    <n v="274742.20800000004"/>
    <n v="274742.20800000004"/>
    <n v="274742.20800000004"/>
    <n v="274742.20800000004"/>
    <n v="274742.20800000004"/>
    <n v="0"/>
    <n v="0"/>
    <n v="1923195.4560000005"/>
    <n v="0"/>
    <n v="274742.20800000004"/>
    <n v="274742.20800000004"/>
    <n v="274742.20800000004"/>
    <n v="274742.20800000004"/>
    <n v="274742.20800000004"/>
    <n v="274742.20800000004"/>
    <n v="274742.20800000004"/>
    <n v="0"/>
    <n v="0"/>
    <x v="4"/>
  </r>
  <r>
    <x v="1"/>
    <x v="27"/>
    <s v="Evenly by province/region"/>
    <n v="0"/>
    <n v="0"/>
    <n v="0"/>
    <n v="0"/>
    <n v="0"/>
    <n v="0"/>
    <n v="0"/>
    <n v="0"/>
    <n v="0"/>
    <n v="0"/>
    <n v="0"/>
    <n v="0"/>
    <n v="0"/>
    <n v="0"/>
    <n v="0"/>
    <n v="0"/>
    <n v="0"/>
    <n v="0"/>
    <n v="0"/>
    <n v="0"/>
    <n v="0"/>
    <n v="0"/>
    <x v="4"/>
  </r>
  <r>
    <x v="1"/>
    <x v="27"/>
    <s v="Evenly by province/region"/>
    <n v="0"/>
    <n v="0"/>
    <n v="0"/>
    <n v="0"/>
    <n v="0"/>
    <n v="0"/>
    <n v="0"/>
    <n v="0"/>
    <n v="0"/>
    <n v="0"/>
    <n v="0"/>
    <n v="0"/>
    <n v="0"/>
    <n v="0"/>
    <n v="0"/>
    <n v="0"/>
    <n v="0"/>
    <n v="0"/>
    <n v="0"/>
    <n v="0"/>
    <n v="0"/>
    <n v="0"/>
    <x v="4"/>
  </r>
  <r>
    <x v="1"/>
    <x v="27"/>
    <s v="Evenly by province/region"/>
    <n v="0"/>
    <n v="0"/>
    <n v="0"/>
    <n v="0"/>
    <n v="0"/>
    <n v="0"/>
    <n v="0"/>
    <n v="0"/>
    <n v="0"/>
    <n v="0"/>
    <n v="0"/>
    <n v="0"/>
    <n v="0"/>
    <n v="0"/>
    <n v="0"/>
    <n v="0"/>
    <n v="0"/>
    <n v="0"/>
    <n v="0"/>
    <n v="0"/>
    <n v="0"/>
    <n v="0"/>
    <x v="4"/>
  </r>
  <r>
    <x v="1"/>
    <x v="27"/>
    <s v="Evenly by province/region"/>
    <n v="0"/>
    <n v="0"/>
    <n v="0"/>
    <n v="0"/>
    <n v="0"/>
    <n v="0"/>
    <n v="0"/>
    <n v="0"/>
    <n v="0"/>
    <n v="0"/>
    <n v="0"/>
    <n v="0"/>
    <n v="0"/>
    <n v="0"/>
    <n v="0"/>
    <n v="0"/>
    <n v="0"/>
    <n v="0"/>
    <n v="0"/>
    <n v="0"/>
    <n v="0"/>
    <n v="0"/>
    <x v="4"/>
  </r>
  <r>
    <x v="1"/>
    <x v="27"/>
    <s v="Evenly by province/region"/>
    <n v="0"/>
    <n v="0"/>
    <n v="0"/>
    <n v="0"/>
    <n v="0"/>
    <n v="0"/>
    <n v="0"/>
    <n v="0"/>
    <n v="0"/>
    <n v="0"/>
    <n v="0"/>
    <n v="0"/>
    <n v="0"/>
    <n v="0"/>
    <n v="0"/>
    <n v="0"/>
    <n v="0"/>
    <n v="0"/>
    <n v="0"/>
    <n v="0"/>
    <n v="0"/>
    <n v="0"/>
    <x v="4"/>
  </r>
  <r>
    <x v="1"/>
    <x v="27"/>
    <s v="Evenly by province/region"/>
    <s v="National-level"/>
    <n v="0"/>
    <n v="0"/>
    <n v="0"/>
    <n v="0"/>
    <n v="0"/>
    <n v="0"/>
    <n v="0"/>
    <n v="0"/>
    <n v="0"/>
    <n v="0"/>
    <n v="0"/>
    <n v="0"/>
    <n v="0"/>
    <n v="0"/>
    <n v="0"/>
    <n v="0"/>
    <n v="0"/>
    <n v="0"/>
    <n v="0"/>
    <n v="0"/>
    <n v="0"/>
    <x v="4"/>
  </r>
  <r>
    <x v="1"/>
    <x v="28"/>
    <s v="Evenly by province/region"/>
    <s v="Central"/>
    <n v="0"/>
    <n v="19800"/>
    <n v="19800"/>
    <n v="19800"/>
    <n v="19800"/>
    <n v="19800"/>
    <n v="19800"/>
    <n v="19800"/>
    <n v="0"/>
    <n v="0"/>
    <n v="138600"/>
    <n v="0"/>
    <n v="19800"/>
    <n v="19800"/>
    <n v="19800"/>
    <n v="19800"/>
    <n v="19800"/>
    <n v="19800"/>
    <n v="19800"/>
    <n v="0"/>
    <n v="0"/>
    <x v="4"/>
  </r>
  <r>
    <x v="1"/>
    <x v="28"/>
    <s v="Evenly by province/region"/>
    <s v="Copperbelt"/>
    <n v="0"/>
    <n v="19800"/>
    <n v="19800"/>
    <n v="19800"/>
    <n v="19800"/>
    <n v="19800"/>
    <n v="19800"/>
    <n v="19800"/>
    <n v="0"/>
    <n v="0"/>
    <n v="138600"/>
    <n v="0"/>
    <n v="19800"/>
    <n v="19800"/>
    <n v="19800"/>
    <n v="19800"/>
    <n v="19800"/>
    <n v="19800"/>
    <n v="19800"/>
    <n v="0"/>
    <n v="0"/>
    <x v="4"/>
  </r>
  <r>
    <x v="1"/>
    <x v="28"/>
    <s v="Evenly by province/region"/>
    <s v="Eastern"/>
    <n v="0"/>
    <n v="19800"/>
    <n v="19800"/>
    <n v="19800"/>
    <n v="19800"/>
    <n v="19800"/>
    <n v="19800"/>
    <n v="19800"/>
    <n v="0"/>
    <n v="0"/>
    <n v="138600"/>
    <n v="0"/>
    <n v="19800"/>
    <n v="19800"/>
    <n v="19800"/>
    <n v="19800"/>
    <n v="19800"/>
    <n v="19800"/>
    <n v="19800"/>
    <n v="0"/>
    <n v="0"/>
    <x v="4"/>
  </r>
  <r>
    <x v="1"/>
    <x v="28"/>
    <s v="Evenly by province/region"/>
    <s v="Luapula"/>
    <n v="0"/>
    <n v="19800"/>
    <n v="19800"/>
    <n v="19800"/>
    <n v="19800"/>
    <n v="19800"/>
    <n v="19800"/>
    <n v="19800"/>
    <n v="0"/>
    <n v="0"/>
    <n v="138600"/>
    <n v="0"/>
    <n v="19800"/>
    <n v="19800"/>
    <n v="19800"/>
    <n v="19800"/>
    <n v="19800"/>
    <n v="19800"/>
    <n v="19800"/>
    <n v="0"/>
    <n v="0"/>
    <x v="4"/>
  </r>
  <r>
    <x v="1"/>
    <x v="28"/>
    <s v="Evenly by province/region"/>
    <s v="Lusaka"/>
    <n v="0"/>
    <n v="19800"/>
    <n v="19800"/>
    <n v="19800"/>
    <n v="19800"/>
    <n v="19800"/>
    <n v="19800"/>
    <n v="19800"/>
    <n v="0"/>
    <n v="0"/>
    <n v="138600"/>
    <n v="0"/>
    <n v="19800"/>
    <n v="19800"/>
    <n v="19800"/>
    <n v="19800"/>
    <n v="19800"/>
    <n v="19800"/>
    <n v="19800"/>
    <n v="0"/>
    <n v="0"/>
    <x v="4"/>
  </r>
  <r>
    <x v="1"/>
    <x v="28"/>
    <s v="Evenly by province/region"/>
    <s v="Muchinga"/>
    <n v="0"/>
    <n v="19800"/>
    <n v="19800"/>
    <n v="19800"/>
    <n v="19800"/>
    <n v="19800"/>
    <n v="19800"/>
    <n v="19800"/>
    <n v="0"/>
    <n v="0"/>
    <n v="138600"/>
    <n v="0"/>
    <n v="19800"/>
    <n v="19800"/>
    <n v="19800"/>
    <n v="19800"/>
    <n v="19800"/>
    <n v="19800"/>
    <n v="19800"/>
    <n v="0"/>
    <n v="0"/>
    <x v="4"/>
  </r>
  <r>
    <x v="1"/>
    <x v="28"/>
    <s v="Evenly by province/region"/>
    <s v="Northern"/>
    <n v="0"/>
    <n v="19800"/>
    <n v="19800"/>
    <n v="19800"/>
    <n v="19800"/>
    <n v="19800"/>
    <n v="19800"/>
    <n v="19800"/>
    <n v="0"/>
    <n v="0"/>
    <n v="138600"/>
    <n v="0"/>
    <n v="19800"/>
    <n v="19800"/>
    <n v="19800"/>
    <n v="19800"/>
    <n v="19800"/>
    <n v="19800"/>
    <n v="19800"/>
    <n v="0"/>
    <n v="0"/>
    <x v="4"/>
  </r>
  <r>
    <x v="1"/>
    <x v="28"/>
    <s v="Evenly by province/region"/>
    <s v="North Western"/>
    <n v="0"/>
    <n v="19800"/>
    <n v="19800"/>
    <n v="19800"/>
    <n v="19800"/>
    <n v="19800"/>
    <n v="19800"/>
    <n v="19800"/>
    <n v="0"/>
    <n v="0"/>
    <n v="138600"/>
    <n v="0"/>
    <n v="19800"/>
    <n v="19800"/>
    <n v="19800"/>
    <n v="19800"/>
    <n v="19800"/>
    <n v="19800"/>
    <n v="19800"/>
    <n v="0"/>
    <n v="0"/>
    <x v="4"/>
  </r>
  <r>
    <x v="1"/>
    <x v="28"/>
    <s v="Evenly by province/region"/>
    <s v="Southern"/>
    <n v="0"/>
    <n v="19800"/>
    <n v="19800"/>
    <n v="19800"/>
    <n v="19800"/>
    <n v="19800"/>
    <n v="19800"/>
    <n v="19800"/>
    <n v="0"/>
    <n v="0"/>
    <n v="138600"/>
    <n v="0"/>
    <n v="19800"/>
    <n v="19800"/>
    <n v="19800"/>
    <n v="19800"/>
    <n v="19800"/>
    <n v="19800"/>
    <n v="19800"/>
    <n v="0"/>
    <n v="0"/>
    <x v="4"/>
  </r>
  <r>
    <x v="1"/>
    <x v="28"/>
    <s v="Evenly by province/region"/>
    <s v="Western"/>
    <n v="0"/>
    <n v="19800"/>
    <n v="19800"/>
    <n v="19800"/>
    <n v="19800"/>
    <n v="19800"/>
    <n v="19800"/>
    <n v="19800"/>
    <n v="0"/>
    <n v="0"/>
    <n v="138600"/>
    <n v="0"/>
    <n v="19800"/>
    <n v="19800"/>
    <n v="19800"/>
    <n v="19800"/>
    <n v="19800"/>
    <n v="19800"/>
    <n v="19800"/>
    <n v="0"/>
    <n v="0"/>
    <x v="4"/>
  </r>
  <r>
    <x v="1"/>
    <x v="28"/>
    <s v="Evenly by province/region"/>
    <n v="0"/>
    <n v="0"/>
    <n v="0"/>
    <n v="0"/>
    <n v="0"/>
    <n v="0"/>
    <n v="0"/>
    <n v="0"/>
    <n v="0"/>
    <n v="0"/>
    <n v="0"/>
    <n v="0"/>
    <n v="0"/>
    <n v="0"/>
    <n v="0"/>
    <n v="0"/>
    <n v="0"/>
    <n v="0"/>
    <n v="0"/>
    <n v="0"/>
    <n v="0"/>
    <n v="0"/>
    <x v="4"/>
  </r>
  <r>
    <x v="1"/>
    <x v="28"/>
    <s v="Evenly by province/region"/>
    <n v="0"/>
    <n v="0"/>
    <n v="0"/>
    <n v="0"/>
    <n v="0"/>
    <n v="0"/>
    <n v="0"/>
    <n v="0"/>
    <n v="0"/>
    <n v="0"/>
    <n v="0"/>
    <n v="0"/>
    <n v="0"/>
    <n v="0"/>
    <n v="0"/>
    <n v="0"/>
    <n v="0"/>
    <n v="0"/>
    <n v="0"/>
    <n v="0"/>
    <n v="0"/>
    <n v="0"/>
    <x v="4"/>
  </r>
  <r>
    <x v="1"/>
    <x v="28"/>
    <s v="Evenly by province/region"/>
    <n v="0"/>
    <n v="0"/>
    <n v="0"/>
    <n v="0"/>
    <n v="0"/>
    <n v="0"/>
    <n v="0"/>
    <n v="0"/>
    <n v="0"/>
    <n v="0"/>
    <n v="0"/>
    <n v="0"/>
    <n v="0"/>
    <n v="0"/>
    <n v="0"/>
    <n v="0"/>
    <n v="0"/>
    <n v="0"/>
    <n v="0"/>
    <n v="0"/>
    <n v="0"/>
    <n v="0"/>
    <x v="4"/>
  </r>
  <r>
    <x v="1"/>
    <x v="28"/>
    <s v="Evenly by province/region"/>
    <n v="0"/>
    <n v="0"/>
    <n v="0"/>
    <n v="0"/>
    <n v="0"/>
    <n v="0"/>
    <n v="0"/>
    <n v="0"/>
    <n v="0"/>
    <n v="0"/>
    <n v="0"/>
    <n v="0"/>
    <n v="0"/>
    <n v="0"/>
    <n v="0"/>
    <n v="0"/>
    <n v="0"/>
    <n v="0"/>
    <n v="0"/>
    <n v="0"/>
    <n v="0"/>
    <n v="0"/>
    <x v="4"/>
  </r>
  <r>
    <x v="1"/>
    <x v="28"/>
    <s v="Evenly by province/region"/>
    <n v="0"/>
    <n v="0"/>
    <n v="0"/>
    <n v="0"/>
    <n v="0"/>
    <n v="0"/>
    <n v="0"/>
    <n v="0"/>
    <n v="0"/>
    <n v="0"/>
    <n v="0"/>
    <n v="0"/>
    <n v="0"/>
    <n v="0"/>
    <n v="0"/>
    <n v="0"/>
    <n v="0"/>
    <n v="0"/>
    <n v="0"/>
    <n v="0"/>
    <n v="0"/>
    <n v="0"/>
    <x v="4"/>
  </r>
  <r>
    <x v="1"/>
    <x v="28"/>
    <s v="Evenly by province/region"/>
    <s v="National-level"/>
    <n v="0"/>
    <n v="0"/>
    <n v="0"/>
    <n v="0"/>
    <n v="0"/>
    <n v="0"/>
    <n v="0"/>
    <n v="0"/>
    <n v="0"/>
    <n v="0"/>
    <n v="0"/>
    <n v="0"/>
    <n v="0"/>
    <n v="0"/>
    <n v="0"/>
    <n v="0"/>
    <n v="0"/>
    <n v="0"/>
    <n v="0"/>
    <n v="0"/>
    <n v="0"/>
    <x v="4"/>
  </r>
  <r>
    <x v="1"/>
    <x v="29"/>
    <s v="Health centres - rural"/>
    <s v="Central"/>
    <n v="0"/>
    <n v="596537.36991485336"/>
    <n v="596537.36991485336"/>
    <n v="596537.36991485336"/>
    <n v="596537.36991485336"/>
    <n v="596537.36991485336"/>
    <n v="596537.36991485336"/>
    <n v="596537.36991485336"/>
    <n v="0"/>
    <n v="0"/>
    <n v="4175761.5894039739"/>
    <n v="0"/>
    <n v="596537.36991485336"/>
    <n v="596537.36991485336"/>
    <n v="596537.36991485336"/>
    <n v="596537.36991485336"/>
    <n v="596537.36991485336"/>
    <n v="596537.36991485336"/>
    <n v="596537.36991485336"/>
    <n v="0"/>
    <n v="0"/>
    <x v="4"/>
  </r>
  <r>
    <x v="1"/>
    <x v="29"/>
    <s v="Health centres - rural"/>
    <s v="Copperbelt"/>
    <n v="0"/>
    <n v="279791.86376537371"/>
    <n v="279791.86376537371"/>
    <n v="279791.86376537371"/>
    <n v="279791.86376537371"/>
    <n v="279791.86376537371"/>
    <n v="279791.86376537371"/>
    <n v="279791.86376537371"/>
    <n v="0"/>
    <n v="0"/>
    <n v="1958543.0463576163"/>
    <n v="0"/>
    <n v="279791.86376537371"/>
    <n v="279791.86376537371"/>
    <n v="279791.86376537371"/>
    <n v="279791.86376537371"/>
    <n v="279791.86376537371"/>
    <n v="279791.86376537371"/>
    <n v="279791.86376537371"/>
    <n v="0"/>
    <n v="0"/>
    <x v="4"/>
  </r>
  <r>
    <x v="1"/>
    <x v="29"/>
    <s v="Health centres - rural"/>
    <s v="Eastern"/>
    <n v="0"/>
    <n v="723235.57237464527"/>
    <n v="723235.57237464527"/>
    <n v="723235.57237464527"/>
    <n v="723235.57237464527"/>
    <n v="723235.57237464527"/>
    <n v="723235.57237464527"/>
    <n v="723235.57237464527"/>
    <n v="0"/>
    <n v="0"/>
    <n v="5062649.0066225175"/>
    <n v="0"/>
    <n v="723235.57237464527"/>
    <n v="723235.57237464527"/>
    <n v="723235.57237464527"/>
    <n v="723235.57237464527"/>
    <n v="723235.57237464527"/>
    <n v="723235.57237464527"/>
    <n v="723235.57237464527"/>
    <n v="0"/>
    <n v="0"/>
    <x v="4"/>
  </r>
  <r>
    <x v="1"/>
    <x v="29"/>
    <s v="Health centres - rural"/>
    <s v="Luapula"/>
    <n v="0"/>
    <n v="659886.47114474932"/>
    <n v="659886.47114474932"/>
    <n v="659886.47114474932"/>
    <n v="659886.47114474932"/>
    <n v="659886.47114474932"/>
    <n v="659886.47114474932"/>
    <n v="659886.47114474932"/>
    <n v="0"/>
    <n v="0"/>
    <n v="4619205.2980132457"/>
    <n v="0"/>
    <n v="659886.47114474932"/>
    <n v="659886.47114474932"/>
    <n v="659886.47114474932"/>
    <n v="659886.47114474932"/>
    <n v="659886.47114474932"/>
    <n v="659886.47114474932"/>
    <n v="659886.47114474932"/>
    <n v="0"/>
    <n v="0"/>
    <x v="4"/>
  </r>
  <r>
    <x v="1"/>
    <x v="29"/>
    <s v="Health centres - rural"/>
    <s v="Lusaka"/>
    <n v="0"/>
    <n v="248117.31315042573"/>
    <n v="248117.31315042573"/>
    <n v="248117.31315042573"/>
    <n v="248117.31315042573"/>
    <n v="248117.31315042573"/>
    <n v="248117.31315042573"/>
    <n v="248117.31315042573"/>
    <n v="0"/>
    <n v="0"/>
    <n v="1736821.19205298"/>
    <n v="0"/>
    <n v="248117.31315042573"/>
    <n v="248117.31315042573"/>
    <n v="248117.31315042573"/>
    <n v="248117.31315042573"/>
    <n v="248117.31315042573"/>
    <n v="248117.31315042573"/>
    <n v="248117.31315042573"/>
    <n v="0"/>
    <n v="0"/>
    <x v="4"/>
  </r>
  <r>
    <x v="1"/>
    <x v="29"/>
    <s v="Health centres - rural"/>
    <s v="Muchinga"/>
    <n v="0"/>
    <n v="374815.51561021764"/>
    <n v="374815.51561021764"/>
    <n v="374815.51561021764"/>
    <n v="374815.51561021764"/>
    <n v="374815.51561021764"/>
    <n v="374815.51561021764"/>
    <n v="374815.51561021764"/>
    <n v="0"/>
    <n v="0"/>
    <n v="2623708.6092715235"/>
    <n v="0"/>
    <n v="374815.51561021764"/>
    <n v="374815.51561021764"/>
    <n v="374815.51561021764"/>
    <n v="374815.51561021764"/>
    <n v="374815.51561021764"/>
    <n v="374815.51561021764"/>
    <n v="374815.51561021764"/>
    <n v="0"/>
    <n v="0"/>
    <x v="4"/>
  </r>
  <r>
    <x v="1"/>
    <x v="29"/>
    <s v="Health centres - rural"/>
    <s v="Northern"/>
    <n v="0"/>
    <n v="490955.53453169344"/>
    <n v="490955.53453169344"/>
    <n v="490955.53453169344"/>
    <n v="490955.53453169344"/>
    <n v="490955.53453169344"/>
    <n v="490955.53453169344"/>
    <n v="490955.53453169344"/>
    <n v="0"/>
    <n v="0"/>
    <n v="3436688.7417218541"/>
    <n v="0"/>
    <n v="490955.53453169344"/>
    <n v="490955.53453169344"/>
    <n v="490955.53453169344"/>
    <n v="490955.53453169344"/>
    <n v="490955.53453169344"/>
    <n v="490955.53453169344"/>
    <n v="490955.53453169344"/>
    <n v="0"/>
    <n v="0"/>
    <x v="4"/>
  </r>
  <r>
    <x v="1"/>
    <x v="29"/>
    <s v="Health centres - rural"/>
    <s v="North Western"/>
    <n v="0"/>
    <n v="633491.01229895931"/>
    <n v="633491.01229895931"/>
    <n v="633491.01229895931"/>
    <n v="633491.01229895931"/>
    <n v="633491.01229895931"/>
    <n v="633491.01229895931"/>
    <n v="633491.01229895931"/>
    <n v="0"/>
    <n v="0"/>
    <n v="4434437.0860927152"/>
    <n v="0"/>
    <n v="633491.01229895931"/>
    <n v="633491.01229895931"/>
    <n v="633491.01229895931"/>
    <n v="633491.01229895931"/>
    <n v="633491.01229895931"/>
    <n v="633491.01229895931"/>
    <n v="633491.01229895931"/>
    <n v="0"/>
    <n v="0"/>
    <x v="4"/>
  </r>
  <r>
    <x v="1"/>
    <x v="29"/>
    <s v="Health centres - rural"/>
    <s v="Southern"/>
    <n v="0"/>
    <n v="913282.87606433313"/>
    <n v="913282.87606433313"/>
    <n v="913282.87606433313"/>
    <n v="913282.87606433313"/>
    <n v="913282.87606433313"/>
    <n v="913282.87606433313"/>
    <n v="913282.87606433313"/>
    <n v="0"/>
    <n v="0"/>
    <n v="6392980.1324503319"/>
    <n v="0"/>
    <n v="913282.87606433313"/>
    <n v="913282.87606433313"/>
    <n v="913282.87606433313"/>
    <n v="913282.87606433313"/>
    <n v="913282.87606433313"/>
    <n v="913282.87606433313"/>
    <n v="913282.87606433313"/>
    <n v="0"/>
    <n v="0"/>
    <x v="4"/>
  </r>
  <r>
    <x v="1"/>
    <x v="29"/>
    <s v="Health centres - rural"/>
    <s v="Western"/>
    <n v="0"/>
    <n v="659886.47114474932"/>
    <n v="659886.47114474932"/>
    <n v="659886.47114474932"/>
    <n v="659886.47114474932"/>
    <n v="659886.47114474932"/>
    <n v="659886.47114474932"/>
    <n v="659886.47114474932"/>
    <n v="0"/>
    <n v="0"/>
    <n v="4619205.2980132457"/>
    <n v="0"/>
    <n v="659886.47114474932"/>
    <n v="659886.47114474932"/>
    <n v="659886.47114474932"/>
    <n v="659886.47114474932"/>
    <n v="659886.47114474932"/>
    <n v="659886.47114474932"/>
    <n v="659886.47114474932"/>
    <n v="0"/>
    <n v="0"/>
    <x v="4"/>
  </r>
  <r>
    <x v="1"/>
    <x v="29"/>
    <s v="Health centres - rural"/>
    <n v="0"/>
    <n v="0"/>
    <n v="0"/>
    <n v="0"/>
    <n v="0"/>
    <n v="0"/>
    <n v="0"/>
    <n v="0"/>
    <n v="0"/>
    <n v="0"/>
    <n v="0"/>
    <n v="0"/>
    <n v="0"/>
    <n v="0"/>
    <n v="0"/>
    <n v="0"/>
    <n v="0"/>
    <n v="0"/>
    <n v="0"/>
    <n v="0"/>
    <n v="0"/>
    <n v="0"/>
    <x v="4"/>
  </r>
  <r>
    <x v="1"/>
    <x v="29"/>
    <s v="Health centres - rural"/>
    <n v="0"/>
    <n v="0"/>
    <n v="0"/>
    <n v="0"/>
    <n v="0"/>
    <n v="0"/>
    <n v="0"/>
    <n v="0"/>
    <n v="0"/>
    <n v="0"/>
    <n v="0"/>
    <n v="0"/>
    <n v="0"/>
    <n v="0"/>
    <n v="0"/>
    <n v="0"/>
    <n v="0"/>
    <n v="0"/>
    <n v="0"/>
    <n v="0"/>
    <n v="0"/>
    <n v="0"/>
    <x v="4"/>
  </r>
  <r>
    <x v="1"/>
    <x v="29"/>
    <s v="Health centres - rural"/>
    <n v="0"/>
    <n v="0"/>
    <n v="0"/>
    <n v="0"/>
    <n v="0"/>
    <n v="0"/>
    <n v="0"/>
    <n v="0"/>
    <n v="0"/>
    <n v="0"/>
    <n v="0"/>
    <n v="0"/>
    <n v="0"/>
    <n v="0"/>
    <n v="0"/>
    <n v="0"/>
    <n v="0"/>
    <n v="0"/>
    <n v="0"/>
    <n v="0"/>
    <n v="0"/>
    <n v="0"/>
    <x v="4"/>
  </r>
  <r>
    <x v="1"/>
    <x v="29"/>
    <s v="Health centres - rural"/>
    <n v="0"/>
    <n v="0"/>
    <n v="0"/>
    <n v="0"/>
    <n v="0"/>
    <n v="0"/>
    <n v="0"/>
    <n v="0"/>
    <n v="0"/>
    <n v="0"/>
    <n v="0"/>
    <n v="0"/>
    <n v="0"/>
    <n v="0"/>
    <n v="0"/>
    <n v="0"/>
    <n v="0"/>
    <n v="0"/>
    <n v="0"/>
    <n v="0"/>
    <n v="0"/>
    <n v="0"/>
    <x v="4"/>
  </r>
  <r>
    <x v="1"/>
    <x v="29"/>
    <s v="Health centres - rural"/>
    <n v="0"/>
    <n v="0"/>
    <n v="0"/>
    <n v="0"/>
    <n v="0"/>
    <n v="0"/>
    <n v="0"/>
    <n v="0"/>
    <n v="0"/>
    <n v="0"/>
    <n v="0"/>
    <n v="0"/>
    <n v="0"/>
    <n v="0"/>
    <n v="0"/>
    <n v="0"/>
    <n v="0"/>
    <n v="0"/>
    <n v="0"/>
    <n v="0"/>
    <n v="0"/>
    <n v="0"/>
    <x v="4"/>
  </r>
  <r>
    <x v="1"/>
    <x v="29"/>
    <s v="Health centres - rural"/>
    <s v="National-level"/>
    <n v="0"/>
    <n v="0"/>
    <n v="0"/>
    <n v="0"/>
    <n v="0"/>
    <n v="0"/>
    <n v="0"/>
    <n v="0"/>
    <n v="0"/>
    <n v="0"/>
    <n v="0"/>
    <n v="0"/>
    <n v="0"/>
    <n v="0"/>
    <n v="0"/>
    <n v="0"/>
    <n v="0"/>
    <n v="0"/>
    <n v="0"/>
    <n v="0"/>
    <n v="0"/>
    <x v="4"/>
  </r>
  <r>
    <x v="1"/>
    <x v="30"/>
    <s v="Health facilities (service delivery points)"/>
    <s v="Central"/>
    <n v="0"/>
    <n v="1145746.3983050848"/>
    <n v="0"/>
    <n v="0"/>
    <n v="0"/>
    <n v="0"/>
    <n v="0"/>
    <n v="0"/>
    <n v="0"/>
    <n v="0"/>
    <n v="1145746.3983050848"/>
    <n v="0"/>
    <n v="1145746.3983050848"/>
    <n v="0"/>
    <n v="0"/>
    <n v="0"/>
    <n v="0"/>
    <n v="0"/>
    <n v="0"/>
    <n v="0"/>
    <n v="0"/>
    <x v="1"/>
  </r>
  <r>
    <x v="1"/>
    <x v="30"/>
    <s v="Health facilities (service delivery points)"/>
    <s v="Copperbelt"/>
    <n v="0"/>
    <n v="1368530.4201977402"/>
    <n v="0"/>
    <n v="0"/>
    <n v="0"/>
    <n v="0"/>
    <n v="0"/>
    <n v="0"/>
    <n v="0"/>
    <n v="0"/>
    <n v="1368530.4201977402"/>
    <n v="0"/>
    <n v="1368530.4201977402"/>
    <n v="0"/>
    <n v="0"/>
    <n v="0"/>
    <n v="0"/>
    <n v="0"/>
    <n v="0"/>
    <n v="0"/>
    <n v="0"/>
    <x v="1"/>
  </r>
  <r>
    <x v="1"/>
    <x v="30"/>
    <s v="Health facilities (service delivery points)"/>
    <s v="Eastern"/>
    <n v="0"/>
    <n v="1247590.5225988701"/>
    <n v="0"/>
    <n v="0"/>
    <n v="0"/>
    <n v="0"/>
    <n v="0"/>
    <n v="0"/>
    <n v="0"/>
    <n v="0"/>
    <n v="1247590.5225988701"/>
    <n v="0"/>
    <n v="1247590.5225988701"/>
    <n v="0"/>
    <n v="0"/>
    <n v="0"/>
    <n v="0"/>
    <n v="0"/>
    <n v="0"/>
    <n v="0"/>
    <n v="0"/>
    <x v="1"/>
  </r>
  <r>
    <x v="1"/>
    <x v="30"/>
    <s v="Health facilities (service delivery points)"/>
    <s v="Luapula"/>
    <n v="0"/>
    <n v="865675.05649717525"/>
    <n v="0"/>
    <n v="0"/>
    <n v="0"/>
    <n v="0"/>
    <n v="0"/>
    <n v="0"/>
    <n v="0"/>
    <n v="0"/>
    <n v="865675.05649717525"/>
    <n v="0"/>
    <n v="865675.05649717525"/>
    <n v="0"/>
    <n v="0"/>
    <n v="0"/>
    <n v="0"/>
    <n v="0"/>
    <n v="0"/>
    <n v="0"/>
    <n v="0"/>
    <x v="1"/>
  </r>
  <r>
    <x v="1"/>
    <x v="30"/>
    <s v="Health facilities (service delivery points)"/>
    <s v="Lusaka"/>
    <n v="0"/>
    <n v="1661332.2775423729"/>
    <n v="0"/>
    <n v="0"/>
    <n v="0"/>
    <n v="0"/>
    <n v="0"/>
    <n v="0"/>
    <n v="0"/>
    <n v="0"/>
    <n v="1661332.2775423729"/>
    <n v="0"/>
    <n v="1661332.2775423729"/>
    <n v="0"/>
    <n v="0"/>
    <n v="0"/>
    <n v="0"/>
    <n v="0"/>
    <n v="0"/>
    <n v="0"/>
    <n v="0"/>
    <x v="1"/>
  </r>
  <r>
    <x v="1"/>
    <x v="30"/>
    <s v="Health facilities (service delivery points)"/>
    <s v="Muchinga"/>
    <n v="0"/>
    <n v="598334.23022598866"/>
    <n v="0"/>
    <n v="0"/>
    <n v="0"/>
    <n v="0"/>
    <n v="0"/>
    <n v="0"/>
    <n v="0"/>
    <n v="0"/>
    <n v="598334.23022598866"/>
    <n v="0"/>
    <n v="598334.23022598866"/>
    <n v="0"/>
    <n v="0"/>
    <n v="0"/>
    <n v="0"/>
    <n v="0"/>
    <n v="0"/>
    <n v="0"/>
    <n v="0"/>
    <x v="1"/>
  </r>
  <r>
    <x v="1"/>
    <x v="30"/>
    <s v="Health facilities (service delivery points)"/>
    <s v="Northern"/>
    <n v="0"/>
    <n v="859309.79872881365"/>
    <n v="0"/>
    <n v="0"/>
    <n v="0"/>
    <n v="0"/>
    <n v="0"/>
    <n v="0"/>
    <n v="0"/>
    <n v="0"/>
    <n v="859309.79872881365"/>
    <n v="0"/>
    <n v="859309.79872881365"/>
    <n v="0"/>
    <n v="0"/>
    <n v="0"/>
    <n v="0"/>
    <n v="0"/>
    <n v="0"/>
    <n v="0"/>
    <n v="0"/>
    <x v="1"/>
  </r>
  <r>
    <x v="1"/>
    <x v="30"/>
    <s v="Health facilities (service delivery points)"/>
    <s v="North Western"/>
    <n v="0"/>
    <n v="986614.95409604523"/>
    <n v="0"/>
    <n v="0"/>
    <n v="0"/>
    <n v="0"/>
    <n v="0"/>
    <n v="0"/>
    <n v="0"/>
    <n v="0"/>
    <n v="986614.95409604523"/>
    <n v="0"/>
    <n v="986614.95409604523"/>
    <n v="0"/>
    <n v="0"/>
    <n v="0"/>
    <n v="0"/>
    <n v="0"/>
    <n v="0"/>
    <n v="0"/>
    <n v="0"/>
    <x v="1"/>
  </r>
  <r>
    <x v="1"/>
    <x v="30"/>
    <s v="Health facilities (service delivery points)"/>
    <s v="Southern"/>
    <n v="0"/>
    <n v="1514931.3488700564"/>
    <n v="0"/>
    <n v="0"/>
    <n v="0"/>
    <n v="0"/>
    <n v="0"/>
    <n v="0"/>
    <n v="0"/>
    <n v="0"/>
    <n v="1514931.3488700564"/>
    <n v="0"/>
    <n v="1514931.3488700564"/>
    <n v="0"/>
    <n v="0"/>
    <n v="0"/>
    <n v="0"/>
    <n v="0"/>
    <n v="0"/>
    <n v="0"/>
    <n v="0"/>
    <x v="1"/>
  </r>
  <r>
    <x v="1"/>
    <x v="30"/>
    <s v="Health facilities (service delivery points)"/>
    <s v="Western"/>
    <n v="0"/>
    <n v="1018441.2429378531"/>
    <n v="0"/>
    <n v="0"/>
    <n v="0"/>
    <n v="0"/>
    <n v="0"/>
    <n v="0"/>
    <n v="0"/>
    <n v="0"/>
    <n v="1018441.2429378531"/>
    <n v="0"/>
    <n v="1018441.2429378531"/>
    <n v="0"/>
    <n v="0"/>
    <n v="0"/>
    <n v="0"/>
    <n v="0"/>
    <n v="0"/>
    <n v="0"/>
    <n v="0"/>
    <x v="1"/>
  </r>
  <r>
    <x v="1"/>
    <x v="30"/>
    <s v="Health facilities (service delivery points)"/>
    <n v="0"/>
    <n v="0"/>
    <n v="0"/>
    <n v="0"/>
    <n v="0"/>
    <n v="0"/>
    <n v="0"/>
    <n v="0"/>
    <n v="0"/>
    <n v="0"/>
    <n v="0"/>
    <n v="0"/>
    <n v="0"/>
    <n v="0"/>
    <n v="0"/>
    <n v="0"/>
    <n v="0"/>
    <n v="0"/>
    <n v="0"/>
    <n v="0"/>
    <n v="0"/>
    <n v="0"/>
    <x v="1"/>
  </r>
  <r>
    <x v="1"/>
    <x v="30"/>
    <s v="Health facilities (service delivery points)"/>
    <n v="0"/>
    <n v="0"/>
    <n v="0"/>
    <n v="0"/>
    <n v="0"/>
    <n v="0"/>
    <n v="0"/>
    <n v="0"/>
    <n v="0"/>
    <n v="0"/>
    <n v="0"/>
    <n v="0"/>
    <n v="0"/>
    <n v="0"/>
    <n v="0"/>
    <n v="0"/>
    <n v="0"/>
    <n v="0"/>
    <n v="0"/>
    <n v="0"/>
    <n v="0"/>
    <n v="0"/>
    <x v="1"/>
  </r>
  <r>
    <x v="1"/>
    <x v="30"/>
    <s v="Health facilities (service delivery points)"/>
    <n v="0"/>
    <n v="0"/>
    <n v="0"/>
    <n v="0"/>
    <n v="0"/>
    <n v="0"/>
    <n v="0"/>
    <n v="0"/>
    <n v="0"/>
    <n v="0"/>
    <n v="0"/>
    <n v="0"/>
    <n v="0"/>
    <n v="0"/>
    <n v="0"/>
    <n v="0"/>
    <n v="0"/>
    <n v="0"/>
    <n v="0"/>
    <n v="0"/>
    <n v="0"/>
    <n v="0"/>
    <x v="1"/>
  </r>
  <r>
    <x v="1"/>
    <x v="30"/>
    <s v="Health facilities (service delivery points)"/>
    <n v="0"/>
    <n v="0"/>
    <n v="0"/>
    <n v="0"/>
    <n v="0"/>
    <n v="0"/>
    <n v="0"/>
    <n v="0"/>
    <n v="0"/>
    <n v="0"/>
    <n v="0"/>
    <n v="0"/>
    <n v="0"/>
    <n v="0"/>
    <n v="0"/>
    <n v="0"/>
    <n v="0"/>
    <n v="0"/>
    <n v="0"/>
    <n v="0"/>
    <n v="0"/>
    <n v="0"/>
    <x v="1"/>
  </r>
  <r>
    <x v="1"/>
    <x v="30"/>
    <s v="Health facilities (service delivery points)"/>
    <n v="0"/>
    <n v="0"/>
    <n v="0"/>
    <n v="0"/>
    <n v="0"/>
    <n v="0"/>
    <n v="0"/>
    <n v="0"/>
    <n v="0"/>
    <n v="0"/>
    <n v="0"/>
    <n v="0"/>
    <n v="0"/>
    <n v="0"/>
    <n v="0"/>
    <n v="0"/>
    <n v="0"/>
    <n v="0"/>
    <n v="0"/>
    <n v="0"/>
    <n v="0"/>
    <n v="0"/>
    <x v="1"/>
  </r>
  <r>
    <x v="1"/>
    <x v="30"/>
    <s v="Health facilities (service delivery points)"/>
    <s v="National-level"/>
    <n v="0"/>
    <n v="0"/>
    <n v="0"/>
    <n v="0"/>
    <n v="0"/>
    <n v="0"/>
    <n v="0"/>
    <n v="0"/>
    <n v="0"/>
    <n v="0"/>
    <n v="0"/>
    <n v="0"/>
    <n v="0"/>
    <n v="0"/>
    <n v="0"/>
    <n v="0"/>
    <n v="0"/>
    <n v="0"/>
    <n v="0"/>
    <n v="0"/>
    <n v="0"/>
    <x v="1"/>
  </r>
  <r>
    <x v="1"/>
    <x v="31"/>
    <s v="Central level"/>
    <s v="Central"/>
    <n v="0"/>
    <n v="0"/>
    <n v="0"/>
    <n v="0"/>
    <n v="0"/>
    <n v="0"/>
    <n v="0"/>
    <n v="0"/>
    <n v="0"/>
    <n v="0"/>
    <n v="0"/>
    <n v="0"/>
    <n v="0"/>
    <n v="0"/>
    <n v="0"/>
    <n v="0"/>
    <n v="0"/>
    <n v="0"/>
    <n v="0"/>
    <n v="0"/>
    <n v="0"/>
    <x v="3"/>
  </r>
  <r>
    <x v="1"/>
    <x v="31"/>
    <s v="Central level"/>
    <s v="Copperbelt"/>
    <n v="0"/>
    <n v="0"/>
    <n v="0"/>
    <n v="0"/>
    <n v="0"/>
    <n v="0"/>
    <n v="0"/>
    <n v="0"/>
    <n v="0"/>
    <n v="0"/>
    <n v="0"/>
    <n v="0"/>
    <n v="0"/>
    <n v="0"/>
    <n v="0"/>
    <n v="0"/>
    <n v="0"/>
    <n v="0"/>
    <n v="0"/>
    <n v="0"/>
    <n v="0"/>
    <x v="3"/>
  </r>
  <r>
    <x v="1"/>
    <x v="31"/>
    <s v="Central level"/>
    <s v="Eastern"/>
    <n v="0"/>
    <n v="0"/>
    <n v="0"/>
    <n v="0"/>
    <n v="0"/>
    <n v="0"/>
    <n v="0"/>
    <n v="0"/>
    <n v="0"/>
    <n v="0"/>
    <n v="0"/>
    <n v="0"/>
    <n v="0"/>
    <n v="0"/>
    <n v="0"/>
    <n v="0"/>
    <n v="0"/>
    <n v="0"/>
    <n v="0"/>
    <n v="0"/>
    <n v="0"/>
    <x v="3"/>
  </r>
  <r>
    <x v="1"/>
    <x v="31"/>
    <s v="Central level"/>
    <s v="Luapula"/>
    <n v="0"/>
    <n v="0"/>
    <n v="0"/>
    <n v="0"/>
    <n v="0"/>
    <n v="0"/>
    <n v="0"/>
    <n v="0"/>
    <n v="0"/>
    <n v="0"/>
    <n v="0"/>
    <n v="0"/>
    <n v="0"/>
    <n v="0"/>
    <n v="0"/>
    <n v="0"/>
    <n v="0"/>
    <n v="0"/>
    <n v="0"/>
    <n v="0"/>
    <n v="0"/>
    <x v="3"/>
  </r>
  <r>
    <x v="1"/>
    <x v="31"/>
    <s v="Central level"/>
    <s v="Lusaka"/>
    <n v="0"/>
    <n v="0"/>
    <n v="0"/>
    <n v="0"/>
    <n v="0"/>
    <n v="0"/>
    <n v="0"/>
    <n v="0"/>
    <n v="0"/>
    <n v="0"/>
    <n v="0"/>
    <n v="0"/>
    <n v="0"/>
    <n v="0"/>
    <n v="0"/>
    <n v="0"/>
    <n v="0"/>
    <n v="0"/>
    <n v="0"/>
    <n v="0"/>
    <n v="0"/>
    <x v="3"/>
  </r>
  <r>
    <x v="1"/>
    <x v="31"/>
    <s v="Central level"/>
    <s v="Muchinga"/>
    <n v="0"/>
    <n v="0"/>
    <n v="0"/>
    <n v="0"/>
    <n v="0"/>
    <n v="0"/>
    <n v="0"/>
    <n v="0"/>
    <n v="0"/>
    <n v="0"/>
    <n v="0"/>
    <n v="0"/>
    <n v="0"/>
    <n v="0"/>
    <n v="0"/>
    <n v="0"/>
    <n v="0"/>
    <n v="0"/>
    <n v="0"/>
    <n v="0"/>
    <n v="0"/>
    <x v="3"/>
  </r>
  <r>
    <x v="1"/>
    <x v="31"/>
    <s v="Central level"/>
    <s v="Northern"/>
    <n v="0"/>
    <n v="0"/>
    <n v="0"/>
    <n v="0"/>
    <n v="0"/>
    <n v="0"/>
    <n v="0"/>
    <n v="0"/>
    <n v="0"/>
    <n v="0"/>
    <n v="0"/>
    <n v="0"/>
    <n v="0"/>
    <n v="0"/>
    <n v="0"/>
    <n v="0"/>
    <n v="0"/>
    <n v="0"/>
    <n v="0"/>
    <n v="0"/>
    <n v="0"/>
    <x v="3"/>
  </r>
  <r>
    <x v="1"/>
    <x v="31"/>
    <s v="Central level"/>
    <s v="North Western"/>
    <n v="0"/>
    <n v="0"/>
    <n v="0"/>
    <n v="0"/>
    <n v="0"/>
    <n v="0"/>
    <n v="0"/>
    <n v="0"/>
    <n v="0"/>
    <n v="0"/>
    <n v="0"/>
    <n v="0"/>
    <n v="0"/>
    <n v="0"/>
    <n v="0"/>
    <n v="0"/>
    <n v="0"/>
    <n v="0"/>
    <n v="0"/>
    <n v="0"/>
    <n v="0"/>
    <x v="3"/>
  </r>
  <r>
    <x v="1"/>
    <x v="31"/>
    <s v="Central level"/>
    <s v="Southern"/>
    <n v="0"/>
    <n v="0"/>
    <n v="0"/>
    <n v="0"/>
    <n v="0"/>
    <n v="0"/>
    <n v="0"/>
    <n v="0"/>
    <n v="0"/>
    <n v="0"/>
    <n v="0"/>
    <n v="0"/>
    <n v="0"/>
    <n v="0"/>
    <n v="0"/>
    <n v="0"/>
    <n v="0"/>
    <n v="0"/>
    <n v="0"/>
    <n v="0"/>
    <n v="0"/>
    <x v="3"/>
  </r>
  <r>
    <x v="1"/>
    <x v="31"/>
    <s v="Central level"/>
    <s v="Western"/>
    <n v="0"/>
    <n v="0"/>
    <n v="0"/>
    <n v="0"/>
    <n v="0"/>
    <n v="0"/>
    <n v="0"/>
    <n v="0"/>
    <n v="0"/>
    <n v="0"/>
    <n v="0"/>
    <n v="0"/>
    <n v="0"/>
    <n v="0"/>
    <n v="0"/>
    <n v="0"/>
    <n v="0"/>
    <n v="0"/>
    <n v="0"/>
    <n v="0"/>
    <n v="0"/>
    <x v="3"/>
  </r>
  <r>
    <x v="1"/>
    <x v="31"/>
    <s v="Central level"/>
    <n v="0"/>
    <n v="0"/>
    <n v="0"/>
    <n v="0"/>
    <n v="0"/>
    <n v="0"/>
    <n v="0"/>
    <n v="0"/>
    <n v="0"/>
    <n v="0"/>
    <n v="0"/>
    <n v="0"/>
    <n v="0"/>
    <n v="0"/>
    <n v="0"/>
    <n v="0"/>
    <n v="0"/>
    <n v="0"/>
    <n v="0"/>
    <n v="0"/>
    <n v="0"/>
    <n v="0"/>
    <x v="3"/>
  </r>
  <r>
    <x v="1"/>
    <x v="31"/>
    <s v="Central level"/>
    <n v="0"/>
    <n v="0"/>
    <n v="0"/>
    <n v="0"/>
    <n v="0"/>
    <n v="0"/>
    <n v="0"/>
    <n v="0"/>
    <n v="0"/>
    <n v="0"/>
    <n v="0"/>
    <n v="0"/>
    <n v="0"/>
    <n v="0"/>
    <n v="0"/>
    <n v="0"/>
    <n v="0"/>
    <n v="0"/>
    <n v="0"/>
    <n v="0"/>
    <n v="0"/>
    <n v="0"/>
    <x v="3"/>
  </r>
  <r>
    <x v="1"/>
    <x v="31"/>
    <s v="Central level"/>
    <n v="0"/>
    <n v="0"/>
    <n v="0"/>
    <n v="0"/>
    <n v="0"/>
    <n v="0"/>
    <n v="0"/>
    <n v="0"/>
    <n v="0"/>
    <n v="0"/>
    <n v="0"/>
    <n v="0"/>
    <n v="0"/>
    <n v="0"/>
    <n v="0"/>
    <n v="0"/>
    <n v="0"/>
    <n v="0"/>
    <n v="0"/>
    <n v="0"/>
    <n v="0"/>
    <n v="0"/>
    <x v="3"/>
  </r>
  <r>
    <x v="1"/>
    <x v="31"/>
    <s v="Central level"/>
    <n v="0"/>
    <n v="0"/>
    <n v="0"/>
    <n v="0"/>
    <n v="0"/>
    <n v="0"/>
    <n v="0"/>
    <n v="0"/>
    <n v="0"/>
    <n v="0"/>
    <n v="0"/>
    <n v="0"/>
    <n v="0"/>
    <n v="0"/>
    <n v="0"/>
    <n v="0"/>
    <n v="0"/>
    <n v="0"/>
    <n v="0"/>
    <n v="0"/>
    <n v="0"/>
    <n v="0"/>
    <x v="3"/>
  </r>
  <r>
    <x v="1"/>
    <x v="31"/>
    <s v="Central level"/>
    <n v="0"/>
    <n v="0"/>
    <n v="0"/>
    <n v="0"/>
    <n v="0"/>
    <n v="0"/>
    <n v="0"/>
    <n v="0"/>
    <n v="0"/>
    <n v="0"/>
    <n v="0"/>
    <n v="0"/>
    <n v="0"/>
    <n v="0"/>
    <n v="0"/>
    <n v="0"/>
    <n v="0"/>
    <n v="0"/>
    <n v="0"/>
    <n v="0"/>
    <n v="0"/>
    <n v="0"/>
    <x v="3"/>
  </r>
  <r>
    <x v="1"/>
    <x v="31"/>
    <s v="Central level"/>
    <s v="National-level"/>
    <n v="176952.128"/>
    <n v="176952.128"/>
    <n v="176952.128"/>
    <n v="176952.128"/>
    <n v="0"/>
    <n v="0"/>
    <n v="0"/>
    <n v="0"/>
    <n v="0"/>
    <n v="0"/>
    <n v="707808.51199999999"/>
    <n v="176952.128"/>
    <n v="176952.128"/>
    <n v="176952.128"/>
    <n v="176952.128"/>
    <n v="0"/>
    <n v="0"/>
    <n v="0"/>
    <n v="0"/>
    <n v="0"/>
    <n v="0"/>
    <x v="3"/>
  </r>
  <r>
    <x v="1"/>
    <x v="32"/>
    <s v="Central level"/>
    <s v="Central"/>
    <n v="0"/>
    <n v="0"/>
    <n v="0"/>
    <n v="0"/>
    <n v="0"/>
    <n v="0"/>
    <n v="0"/>
    <n v="0"/>
    <n v="0"/>
    <n v="0"/>
    <n v="0"/>
    <n v="0"/>
    <n v="0"/>
    <n v="0"/>
    <n v="0"/>
    <n v="0"/>
    <n v="0"/>
    <n v="0"/>
    <n v="0"/>
    <n v="0"/>
    <n v="0"/>
    <x v="1"/>
  </r>
  <r>
    <x v="1"/>
    <x v="32"/>
    <s v="Central level"/>
    <s v="Copperbelt"/>
    <n v="0"/>
    <n v="0"/>
    <n v="0"/>
    <n v="0"/>
    <n v="0"/>
    <n v="0"/>
    <n v="0"/>
    <n v="0"/>
    <n v="0"/>
    <n v="0"/>
    <n v="0"/>
    <n v="0"/>
    <n v="0"/>
    <n v="0"/>
    <n v="0"/>
    <n v="0"/>
    <n v="0"/>
    <n v="0"/>
    <n v="0"/>
    <n v="0"/>
    <n v="0"/>
    <x v="1"/>
  </r>
  <r>
    <x v="1"/>
    <x v="32"/>
    <s v="Central level"/>
    <s v="Eastern"/>
    <n v="0"/>
    <n v="0"/>
    <n v="0"/>
    <n v="0"/>
    <n v="0"/>
    <n v="0"/>
    <n v="0"/>
    <n v="0"/>
    <n v="0"/>
    <n v="0"/>
    <n v="0"/>
    <n v="0"/>
    <n v="0"/>
    <n v="0"/>
    <n v="0"/>
    <n v="0"/>
    <n v="0"/>
    <n v="0"/>
    <n v="0"/>
    <n v="0"/>
    <n v="0"/>
    <x v="1"/>
  </r>
  <r>
    <x v="1"/>
    <x v="32"/>
    <s v="Central level"/>
    <s v="Luapula"/>
    <n v="0"/>
    <n v="0"/>
    <n v="0"/>
    <n v="0"/>
    <n v="0"/>
    <n v="0"/>
    <n v="0"/>
    <n v="0"/>
    <n v="0"/>
    <n v="0"/>
    <n v="0"/>
    <n v="0"/>
    <n v="0"/>
    <n v="0"/>
    <n v="0"/>
    <n v="0"/>
    <n v="0"/>
    <n v="0"/>
    <n v="0"/>
    <n v="0"/>
    <n v="0"/>
    <x v="1"/>
  </r>
  <r>
    <x v="1"/>
    <x v="32"/>
    <s v="Central level"/>
    <s v="Lusaka"/>
    <n v="0"/>
    <n v="0"/>
    <n v="0"/>
    <n v="0"/>
    <n v="0"/>
    <n v="0"/>
    <n v="0"/>
    <n v="0"/>
    <n v="0"/>
    <n v="0"/>
    <n v="0"/>
    <n v="0"/>
    <n v="0"/>
    <n v="0"/>
    <n v="0"/>
    <n v="0"/>
    <n v="0"/>
    <n v="0"/>
    <n v="0"/>
    <n v="0"/>
    <n v="0"/>
    <x v="1"/>
  </r>
  <r>
    <x v="1"/>
    <x v="32"/>
    <s v="Central level"/>
    <s v="Muchinga"/>
    <n v="0"/>
    <n v="0"/>
    <n v="0"/>
    <n v="0"/>
    <n v="0"/>
    <n v="0"/>
    <n v="0"/>
    <n v="0"/>
    <n v="0"/>
    <n v="0"/>
    <n v="0"/>
    <n v="0"/>
    <n v="0"/>
    <n v="0"/>
    <n v="0"/>
    <n v="0"/>
    <n v="0"/>
    <n v="0"/>
    <n v="0"/>
    <n v="0"/>
    <n v="0"/>
    <x v="1"/>
  </r>
  <r>
    <x v="1"/>
    <x v="32"/>
    <s v="Central level"/>
    <s v="Northern"/>
    <n v="0"/>
    <n v="0"/>
    <n v="0"/>
    <n v="0"/>
    <n v="0"/>
    <n v="0"/>
    <n v="0"/>
    <n v="0"/>
    <n v="0"/>
    <n v="0"/>
    <n v="0"/>
    <n v="0"/>
    <n v="0"/>
    <n v="0"/>
    <n v="0"/>
    <n v="0"/>
    <n v="0"/>
    <n v="0"/>
    <n v="0"/>
    <n v="0"/>
    <n v="0"/>
    <x v="1"/>
  </r>
  <r>
    <x v="1"/>
    <x v="32"/>
    <s v="Central level"/>
    <s v="North Western"/>
    <n v="0"/>
    <n v="0"/>
    <n v="0"/>
    <n v="0"/>
    <n v="0"/>
    <n v="0"/>
    <n v="0"/>
    <n v="0"/>
    <n v="0"/>
    <n v="0"/>
    <n v="0"/>
    <n v="0"/>
    <n v="0"/>
    <n v="0"/>
    <n v="0"/>
    <n v="0"/>
    <n v="0"/>
    <n v="0"/>
    <n v="0"/>
    <n v="0"/>
    <n v="0"/>
    <x v="1"/>
  </r>
  <r>
    <x v="1"/>
    <x v="32"/>
    <s v="Central level"/>
    <s v="Southern"/>
    <n v="0"/>
    <n v="0"/>
    <n v="0"/>
    <n v="0"/>
    <n v="0"/>
    <n v="0"/>
    <n v="0"/>
    <n v="0"/>
    <n v="0"/>
    <n v="0"/>
    <n v="0"/>
    <n v="0"/>
    <n v="0"/>
    <n v="0"/>
    <n v="0"/>
    <n v="0"/>
    <n v="0"/>
    <n v="0"/>
    <n v="0"/>
    <n v="0"/>
    <n v="0"/>
    <x v="1"/>
  </r>
  <r>
    <x v="1"/>
    <x v="32"/>
    <s v="Central level"/>
    <s v="Western"/>
    <n v="0"/>
    <n v="0"/>
    <n v="0"/>
    <n v="0"/>
    <n v="0"/>
    <n v="0"/>
    <n v="0"/>
    <n v="0"/>
    <n v="0"/>
    <n v="0"/>
    <n v="0"/>
    <n v="0"/>
    <n v="0"/>
    <n v="0"/>
    <n v="0"/>
    <n v="0"/>
    <n v="0"/>
    <n v="0"/>
    <n v="0"/>
    <n v="0"/>
    <n v="0"/>
    <x v="1"/>
  </r>
  <r>
    <x v="1"/>
    <x v="32"/>
    <s v="Central level"/>
    <n v="0"/>
    <n v="0"/>
    <n v="0"/>
    <n v="0"/>
    <n v="0"/>
    <n v="0"/>
    <n v="0"/>
    <n v="0"/>
    <n v="0"/>
    <n v="0"/>
    <n v="0"/>
    <n v="0"/>
    <n v="0"/>
    <n v="0"/>
    <n v="0"/>
    <n v="0"/>
    <n v="0"/>
    <n v="0"/>
    <n v="0"/>
    <n v="0"/>
    <n v="0"/>
    <n v="0"/>
    <x v="1"/>
  </r>
  <r>
    <x v="1"/>
    <x v="32"/>
    <s v="Central level"/>
    <n v="0"/>
    <n v="0"/>
    <n v="0"/>
    <n v="0"/>
    <n v="0"/>
    <n v="0"/>
    <n v="0"/>
    <n v="0"/>
    <n v="0"/>
    <n v="0"/>
    <n v="0"/>
    <n v="0"/>
    <n v="0"/>
    <n v="0"/>
    <n v="0"/>
    <n v="0"/>
    <n v="0"/>
    <n v="0"/>
    <n v="0"/>
    <n v="0"/>
    <n v="0"/>
    <n v="0"/>
    <x v="1"/>
  </r>
  <r>
    <x v="1"/>
    <x v="32"/>
    <s v="Central level"/>
    <n v="0"/>
    <n v="0"/>
    <n v="0"/>
    <n v="0"/>
    <n v="0"/>
    <n v="0"/>
    <n v="0"/>
    <n v="0"/>
    <n v="0"/>
    <n v="0"/>
    <n v="0"/>
    <n v="0"/>
    <n v="0"/>
    <n v="0"/>
    <n v="0"/>
    <n v="0"/>
    <n v="0"/>
    <n v="0"/>
    <n v="0"/>
    <n v="0"/>
    <n v="0"/>
    <n v="0"/>
    <x v="1"/>
  </r>
  <r>
    <x v="1"/>
    <x v="32"/>
    <s v="Central level"/>
    <n v="0"/>
    <n v="0"/>
    <n v="0"/>
    <n v="0"/>
    <n v="0"/>
    <n v="0"/>
    <n v="0"/>
    <n v="0"/>
    <n v="0"/>
    <n v="0"/>
    <n v="0"/>
    <n v="0"/>
    <n v="0"/>
    <n v="0"/>
    <n v="0"/>
    <n v="0"/>
    <n v="0"/>
    <n v="0"/>
    <n v="0"/>
    <n v="0"/>
    <n v="0"/>
    <n v="0"/>
    <x v="1"/>
  </r>
  <r>
    <x v="1"/>
    <x v="32"/>
    <s v="Central level"/>
    <n v="0"/>
    <n v="0"/>
    <n v="0"/>
    <n v="0"/>
    <n v="0"/>
    <n v="0"/>
    <n v="0"/>
    <n v="0"/>
    <n v="0"/>
    <n v="0"/>
    <n v="0"/>
    <n v="0"/>
    <n v="0"/>
    <n v="0"/>
    <n v="0"/>
    <n v="0"/>
    <n v="0"/>
    <n v="0"/>
    <n v="0"/>
    <n v="0"/>
    <n v="0"/>
    <n v="0"/>
    <x v="1"/>
  </r>
  <r>
    <x v="1"/>
    <x v="32"/>
    <s v="Central level"/>
    <s v="National-level"/>
    <n v="15000"/>
    <n v="0"/>
    <n v="0"/>
    <n v="0"/>
    <n v="0"/>
    <n v="0"/>
    <n v="0"/>
    <n v="0"/>
    <n v="0"/>
    <n v="0"/>
    <n v="15000"/>
    <n v="15000"/>
    <n v="0"/>
    <n v="0"/>
    <n v="0"/>
    <n v="0"/>
    <n v="0"/>
    <n v="0"/>
    <n v="0"/>
    <n v="0"/>
    <n v="0"/>
    <x v="1"/>
  </r>
  <r>
    <x v="1"/>
    <x v="33"/>
    <s v="Central level"/>
    <s v="Central"/>
    <n v="0"/>
    <n v="0"/>
    <n v="0"/>
    <n v="0"/>
    <n v="0"/>
    <n v="0"/>
    <n v="0"/>
    <n v="0"/>
    <n v="0"/>
    <n v="0"/>
    <n v="0"/>
    <n v="0"/>
    <n v="0"/>
    <n v="0"/>
    <n v="0"/>
    <n v="0"/>
    <n v="0"/>
    <n v="0"/>
    <n v="0"/>
    <n v="0"/>
    <n v="0"/>
    <x v="3"/>
  </r>
  <r>
    <x v="1"/>
    <x v="33"/>
    <s v="Central level"/>
    <s v="Copperbelt"/>
    <n v="0"/>
    <n v="0"/>
    <n v="0"/>
    <n v="0"/>
    <n v="0"/>
    <n v="0"/>
    <n v="0"/>
    <n v="0"/>
    <n v="0"/>
    <n v="0"/>
    <n v="0"/>
    <n v="0"/>
    <n v="0"/>
    <n v="0"/>
    <n v="0"/>
    <n v="0"/>
    <n v="0"/>
    <n v="0"/>
    <n v="0"/>
    <n v="0"/>
    <n v="0"/>
    <x v="3"/>
  </r>
  <r>
    <x v="1"/>
    <x v="33"/>
    <s v="Central level"/>
    <s v="Eastern"/>
    <n v="0"/>
    <n v="0"/>
    <n v="0"/>
    <n v="0"/>
    <n v="0"/>
    <n v="0"/>
    <n v="0"/>
    <n v="0"/>
    <n v="0"/>
    <n v="0"/>
    <n v="0"/>
    <n v="0"/>
    <n v="0"/>
    <n v="0"/>
    <n v="0"/>
    <n v="0"/>
    <n v="0"/>
    <n v="0"/>
    <n v="0"/>
    <n v="0"/>
    <n v="0"/>
    <x v="3"/>
  </r>
  <r>
    <x v="1"/>
    <x v="33"/>
    <s v="Central level"/>
    <s v="Luapula"/>
    <n v="0"/>
    <n v="0"/>
    <n v="0"/>
    <n v="0"/>
    <n v="0"/>
    <n v="0"/>
    <n v="0"/>
    <n v="0"/>
    <n v="0"/>
    <n v="0"/>
    <n v="0"/>
    <n v="0"/>
    <n v="0"/>
    <n v="0"/>
    <n v="0"/>
    <n v="0"/>
    <n v="0"/>
    <n v="0"/>
    <n v="0"/>
    <n v="0"/>
    <n v="0"/>
    <x v="3"/>
  </r>
  <r>
    <x v="1"/>
    <x v="33"/>
    <s v="Central level"/>
    <s v="Lusaka"/>
    <n v="0"/>
    <n v="0"/>
    <n v="0"/>
    <n v="0"/>
    <n v="0"/>
    <n v="0"/>
    <n v="0"/>
    <n v="0"/>
    <n v="0"/>
    <n v="0"/>
    <n v="0"/>
    <n v="0"/>
    <n v="0"/>
    <n v="0"/>
    <n v="0"/>
    <n v="0"/>
    <n v="0"/>
    <n v="0"/>
    <n v="0"/>
    <n v="0"/>
    <n v="0"/>
    <x v="3"/>
  </r>
  <r>
    <x v="1"/>
    <x v="33"/>
    <s v="Central level"/>
    <s v="Muchinga"/>
    <n v="0"/>
    <n v="0"/>
    <n v="0"/>
    <n v="0"/>
    <n v="0"/>
    <n v="0"/>
    <n v="0"/>
    <n v="0"/>
    <n v="0"/>
    <n v="0"/>
    <n v="0"/>
    <n v="0"/>
    <n v="0"/>
    <n v="0"/>
    <n v="0"/>
    <n v="0"/>
    <n v="0"/>
    <n v="0"/>
    <n v="0"/>
    <n v="0"/>
    <n v="0"/>
    <x v="3"/>
  </r>
  <r>
    <x v="1"/>
    <x v="33"/>
    <s v="Central level"/>
    <s v="Northern"/>
    <n v="0"/>
    <n v="0"/>
    <n v="0"/>
    <n v="0"/>
    <n v="0"/>
    <n v="0"/>
    <n v="0"/>
    <n v="0"/>
    <n v="0"/>
    <n v="0"/>
    <n v="0"/>
    <n v="0"/>
    <n v="0"/>
    <n v="0"/>
    <n v="0"/>
    <n v="0"/>
    <n v="0"/>
    <n v="0"/>
    <n v="0"/>
    <n v="0"/>
    <n v="0"/>
    <x v="3"/>
  </r>
  <r>
    <x v="1"/>
    <x v="33"/>
    <s v="Central level"/>
    <s v="North Western"/>
    <n v="0"/>
    <n v="0"/>
    <n v="0"/>
    <n v="0"/>
    <n v="0"/>
    <n v="0"/>
    <n v="0"/>
    <n v="0"/>
    <n v="0"/>
    <n v="0"/>
    <n v="0"/>
    <n v="0"/>
    <n v="0"/>
    <n v="0"/>
    <n v="0"/>
    <n v="0"/>
    <n v="0"/>
    <n v="0"/>
    <n v="0"/>
    <n v="0"/>
    <n v="0"/>
    <x v="3"/>
  </r>
  <r>
    <x v="1"/>
    <x v="33"/>
    <s v="Central level"/>
    <s v="Southern"/>
    <n v="0"/>
    <n v="0"/>
    <n v="0"/>
    <n v="0"/>
    <n v="0"/>
    <n v="0"/>
    <n v="0"/>
    <n v="0"/>
    <n v="0"/>
    <n v="0"/>
    <n v="0"/>
    <n v="0"/>
    <n v="0"/>
    <n v="0"/>
    <n v="0"/>
    <n v="0"/>
    <n v="0"/>
    <n v="0"/>
    <n v="0"/>
    <n v="0"/>
    <n v="0"/>
    <x v="3"/>
  </r>
  <r>
    <x v="1"/>
    <x v="33"/>
    <s v="Central level"/>
    <s v="Western"/>
    <n v="0"/>
    <n v="0"/>
    <n v="0"/>
    <n v="0"/>
    <n v="0"/>
    <n v="0"/>
    <n v="0"/>
    <n v="0"/>
    <n v="0"/>
    <n v="0"/>
    <n v="0"/>
    <n v="0"/>
    <n v="0"/>
    <n v="0"/>
    <n v="0"/>
    <n v="0"/>
    <n v="0"/>
    <n v="0"/>
    <n v="0"/>
    <n v="0"/>
    <n v="0"/>
    <x v="3"/>
  </r>
  <r>
    <x v="1"/>
    <x v="33"/>
    <s v="Central level"/>
    <n v="0"/>
    <n v="0"/>
    <n v="0"/>
    <n v="0"/>
    <n v="0"/>
    <n v="0"/>
    <n v="0"/>
    <n v="0"/>
    <n v="0"/>
    <n v="0"/>
    <n v="0"/>
    <n v="0"/>
    <n v="0"/>
    <n v="0"/>
    <n v="0"/>
    <n v="0"/>
    <n v="0"/>
    <n v="0"/>
    <n v="0"/>
    <n v="0"/>
    <n v="0"/>
    <n v="0"/>
    <x v="3"/>
  </r>
  <r>
    <x v="1"/>
    <x v="33"/>
    <s v="Central level"/>
    <n v="0"/>
    <n v="0"/>
    <n v="0"/>
    <n v="0"/>
    <n v="0"/>
    <n v="0"/>
    <n v="0"/>
    <n v="0"/>
    <n v="0"/>
    <n v="0"/>
    <n v="0"/>
    <n v="0"/>
    <n v="0"/>
    <n v="0"/>
    <n v="0"/>
    <n v="0"/>
    <n v="0"/>
    <n v="0"/>
    <n v="0"/>
    <n v="0"/>
    <n v="0"/>
    <n v="0"/>
    <x v="3"/>
  </r>
  <r>
    <x v="1"/>
    <x v="33"/>
    <s v="Central level"/>
    <n v="0"/>
    <n v="0"/>
    <n v="0"/>
    <n v="0"/>
    <n v="0"/>
    <n v="0"/>
    <n v="0"/>
    <n v="0"/>
    <n v="0"/>
    <n v="0"/>
    <n v="0"/>
    <n v="0"/>
    <n v="0"/>
    <n v="0"/>
    <n v="0"/>
    <n v="0"/>
    <n v="0"/>
    <n v="0"/>
    <n v="0"/>
    <n v="0"/>
    <n v="0"/>
    <n v="0"/>
    <x v="3"/>
  </r>
  <r>
    <x v="1"/>
    <x v="33"/>
    <s v="Central level"/>
    <n v="0"/>
    <n v="0"/>
    <n v="0"/>
    <n v="0"/>
    <n v="0"/>
    <n v="0"/>
    <n v="0"/>
    <n v="0"/>
    <n v="0"/>
    <n v="0"/>
    <n v="0"/>
    <n v="0"/>
    <n v="0"/>
    <n v="0"/>
    <n v="0"/>
    <n v="0"/>
    <n v="0"/>
    <n v="0"/>
    <n v="0"/>
    <n v="0"/>
    <n v="0"/>
    <n v="0"/>
    <x v="3"/>
  </r>
  <r>
    <x v="1"/>
    <x v="33"/>
    <s v="Central level"/>
    <n v="0"/>
    <n v="0"/>
    <n v="0"/>
    <n v="0"/>
    <n v="0"/>
    <n v="0"/>
    <n v="0"/>
    <n v="0"/>
    <n v="0"/>
    <n v="0"/>
    <n v="0"/>
    <n v="0"/>
    <n v="0"/>
    <n v="0"/>
    <n v="0"/>
    <n v="0"/>
    <n v="0"/>
    <n v="0"/>
    <n v="0"/>
    <n v="0"/>
    <n v="0"/>
    <n v="0"/>
    <x v="3"/>
  </r>
  <r>
    <x v="1"/>
    <x v="33"/>
    <s v="Central level"/>
    <s v="National-level"/>
    <n v="0"/>
    <n v="28677.576000000001"/>
    <n v="0"/>
    <n v="0"/>
    <n v="0"/>
    <n v="0"/>
    <n v="0"/>
    <n v="0"/>
    <n v="0"/>
    <n v="0"/>
    <n v="28677.576000000001"/>
    <n v="0"/>
    <n v="28677.576000000001"/>
    <n v="0"/>
    <n v="0"/>
    <n v="0"/>
    <n v="0"/>
    <n v="0"/>
    <n v="0"/>
    <n v="0"/>
    <n v="0"/>
    <x v="3"/>
  </r>
  <r>
    <x v="3"/>
    <x v="34"/>
    <n v="0"/>
    <s v="Central"/>
    <n v="0"/>
    <n v="0"/>
    <n v="0"/>
    <n v="0"/>
    <n v="0"/>
    <n v="0"/>
    <n v="0"/>
    <n v="0"/>
    <n v="0"/>
    <n v="0"/>
    <n v="0"/>
    <n v="0"/>
    <n v="0"/>
    <n v="0"/>
    <n v="0"/>
    <n v="0"/>
    <n v="0"/>
    <n v="0"/>
    <n v="0"/>
    <n v="0"/>
    <n v="0"/>
    <x v="1"/>
  </r>
  <r>
    <x v="3"/>
    <x v="34"/>
    <n v="0"/>
    <s v="Copperbelt"/>
    <n v="0"/>
    <n v="0"/>
    <n v="0"/>
    <n v="0"/>
    <n v="0"/>
    <n v="0"/>
    <n v="0"/>
    <n v="0"/>
    <n v="0"/>
    <n v="0"/>
    <n v="0"/>
    <n v="0"/>
    <n v="0"/>
    <n v="0"/>
    <n v="0"/>
    <n v="0"/>
    <n v="0"/>
    <n v="0"/>
    <n v="0"/>
    <n v="0"/>
    <n v="0"/>
    <x v="1"/>
  </r>
  <r>
    <x v="3"/>
    <x v="34"/>
    <n v="0"/>
    <s v="Eastern"/>
    <n v="0"/>
    <n v="0"/>
    <n v="0"/>
    <n v="0"/>
    <n v="0"/>
    <n v="0"/>
    <n v="0"/>
    <n v="0"/>
    <n v="0"/>
    <n v="0"/>
    <n v="0"/>
    <n v="0"/>
    <n v="0"/>
    <n v="0"/>
    <n v="0"/>
    <n v="0"/>
    <n v="0"/>
    <n v="0"/>
    <n v="0"/>
    <n v="0"/>
    <n v="0"/>
    <x v="1"/>
  </r>
  <r>
    <x v="3"/>
    <x v="34"/>
    <n v="0"/>
    <s v="Luapula"/>
    <n v="0"/>
    <n v="0"/>
    <n v="0"/>
    <n v="0"/>
    <n v="0"/>
    <n v="0"/>
    <n v="0"/>
    <n v="0"/>
    <n v="0"/>
    <n v="0"/>
    <n v="0"/>
    <n v="0"/>
    <n v="0"/>
    <n v="0"/>
    <n v="0"/>
    <n v="0"/>
    <n v="0"/>
    <n v="0"/>
    <n v="0"/>
    <n v="0"/>
    <n v="0"/>
    <x v="1"/>
  </r>
  <r>
    <x v="3"/>
    <x v="34"/>
    <n v="0"/>
    <s v="Lusaka"/>
    <n v="0"/>
    <n v="0"/>
    <n v="0"/>
    <n v="0"/>
    <n v="0"/>
    <n v="0"/>
    <n v="0"/>
    <n v="0"/>
    <n v="0"/>
    <n v="0"/>
    <n v="0"/>
    <n v="0"/>
    <n v="0"/>
    <n v="0"/>
    <n v="0"/>
    <n v="0"/>
    <n v="0"/>
    <n v="0"/>
    <n v="0"/>
    <n v="0"/>
    <n v="0"/>
    <x v="1"/>
  </r>
  <r>
    <x v="3"/>
    <x v="34"/>
    <n v="0"/>
    <s v="Muchinga"/>
    <n v="0"/>
    <n v="0"/>
    <n v="0"/>
    <n v="0"/>
    <n v="0"/>
    <n v="0"/>
    <n v="0"/>
    <n v="0"/>
    <n v="0"/>
    <n v="0"/>
    <n v="0"/>
    <n v="0"/>
    <n v="0"/>
    <n v="0"/>
    <n v="0"/>
    <n v="0"/>
    <n v="0"/>
    <n v="0"/>
    <n v="0"/>
    <n v="0"/>
    <n v="0"/>
    <x v="1"/>
  </r>
  <r>
    <x v="3"/>
    <x v="34"/>
    <n v="0"/>
    <s v="Northern"/>
    <n v="0"/>
    <n v="0"/>
    <n v="0"/>
    <n v="0"/>
    <n v="0"/>
    <n v="0"/>
    <n v="0"/>
    <n v="0"/>
    <n v="0"/>
    <n v="0"/>
    <n v="0"/>
    <n v="0"/>
    <n v="0"/>
    <n v="0"/>
    <n v="0"/>
    <n v="0"/>
    <n v="0"/>
    <n v="0"/>
    <n v="0"/>
    <n v="0"/>
    <n v="0"/>
    <x v="1"/>
  </r>
  <r>
    <x v="3"/>
    <x v="34"/>
    <n v="0"/>
    <s v="North Western"/>
    <n v="0"/>
    <n v="0"/>
    <n v="0"/>
    <n v="0"/>
    <n v="0"/>
    <n v="0"/>
    <n v="0"/>
    <n v="0"/>
    <n v="0"/>
    <n v="0"/>
    <n v="0"/>
    <n v="0"/>
    <n v="0"/>
    <n v="0"/>
    <n v="0"/>
    <n v="0"/>
    <n v="0"/>
    <n v="0"/>
    <n v="0"/>
    <n v="0"/>
    <n v="0"/>
    <x v="1"/>
  </r>
  <r>
    <x v="3"/>
    <x v="34"/>
    <n v="0"/>
    <s v="Southern"/>
    <n v="0"/>
    <n v="0"/>
    <n v="0"/>
    <n v="0"/>
    <n v="0"/>
    <n v="0"/>
    <n v="0"/>
    <n v="0"/>
    <n v="0"/>
    <n v="0"/>
    <n v="0"/>
    <n v="0"/>
    <n v="0"/>
    <n v="0"/>
    <n v="0"/>
    <n v="0"/>
    <n v="0"/>
    <n v="0"/>
    <n v="0"/>
    <n v="0"/>
    <n v="0"/>
    <x v="1"/>
  </r>
  <r>
    <x v="3"/>
    <x v="34"/>
    <n v="0"/>
    <s v="Western"/>
    <n v="0"/>
    <n v="0"/>
    <n v="0"/>
    <n v="0"/>
    <n v="0"/>
    <n v="0"/>
    <n v="0"/>
    <n v="0"/>
    <n v="0"/>
    <n v="0"/>
    <n v="0"/>
    <n v="0"/>
    <n v="0"/>
    <n v="0"/>
    <n v="0"/>
    <n v="0"/>
    <n v="0"/>
    <n v="0"/>
    <n v="0"/>
    <n v="0"/>
    <n v="0"/>
    <x v="1"/>
  </r>
  <r>
    <x v="3"/>
    <x v="34"/>
    <n v="0"/>
    <n v="0"/>
    <n v="0"/>
    <n v="0"/>
    <n v="0"/>
    <n v="0"/>
    <n v="0"/>
    <n v="0"/>
    <n v="0"/>
    <n v="0"/>
    <n v="0"/>
    <n v="0"/>
    <n v="0"/>
    <n v="0"/>
    <n v="0"/>
    <n v="0"/>
    <n v="0"/>
    <n v="0"/>
    <n v="0"/>
    <n v="0"/>
    <n v="0"/>
    <n v="0"/>
    <n v="0"/>
    <x v="1"/>
  </r>
  <r>
    <x v="3"/>
    <x v="34"/>
    <n v="0"/>
    <n v="0"/>
    <n v="0"/>
    <n v="0"/>
    <n v="0"/>
    <n v="0"/>
    <n v="0"/>
    <n v="0"/>
    <n v="0"/>
    <n v="0"/>
    <n v="0"/>
    <n v="0"/>
    <n v="0"/>
    <n v="0"/>
    <n v="0"/>
    <n v="0"/>
    <n v="0"/>
    <n v="0"/>
    <n v="0"/>
    <n v="0"/>
    <n v="0"/>
    <n v="0"/>
    <n v="0"/>
    <x v="1"/>
  </r>
  <r>
    <x v="3"/>
    <x v="34"/>
    <n v="0"/>
    <n v="0"/>
    <n v="0"/>
    <n v="0"/>
    <n v="0"/>
    <n v="0"/>
    <n v="0"/>
    <n v="0"/>
    <n v="0"/>
    <n v="0"/>
    <n v="0"/>
    <n v="0"/>
    <n v="0"/>
    <n v="0"/>
    <n v="0"/>
    <n v="0"/>
    <n v="0"/>
    <n v="0"/>
    <n v="0"/>
    <n v="0"/>
    <n v="0"/>
    <n v="0"/>
    <n v="0"/>
    <x v="1"/>
  </r>
  <r>
    <x v="3"/>
    <x v="34"/>
    <n v="0"/>
    <n v="0"/>
    <n v="0"/>
    <n v="0"/>
    <n v="0"/>
    <n v="0"/>
    <n v="0"/>
    <n v="0"/>
    <n v="0"/>
    <n v="0"/>
    <n v="0"/>
    <n v="0"/>
    <n v="0"/>
    <n v="0"/>
    <n v="0"/>
    <n v="0"/>
    <n v="0"/>
    <n v="0"/>
    <n v="0"/>
    <n v="0"/>
    <n v="0"/>
    <n v="0"/>
    <n v="0"/>
    <x v="1"/>
  </r>
  <r>
    <x v="3"/>
    <x v="34"/>
    <n v="0"/>
    <n v="0"/>
    <n v="0"/>
    <n v="0"/>
    <n v="0"/>
    <n v="0"/>
    <n v="0"/>
    <n v="0"/>
    <n v="0"/>
    <n v="0"/>
    <n v="0"/>
    <n v="0"/>
    <n v="0"/>
    <n v="0"/>
    <n v="0"/>
    <n v="0"/>
    <n v="0"/>
    <n v="0"/>
    <n v="0"/>
    <n v="0"/>
    <n v="0"/>
    <n v="0"/>
    <n v="0"/>
    <x v="1"/>
  </r>
  <r>
    <x v="3"/>
    <x v="34"/>
    <n v="0"/>
    <s v="National-level"/>
    <n v="18463135.554460838"/>
    <n v="20055233.742716581"/>
    <n v="21716165.463640198"/>
    <n v="23448252.810759358"/>
    <n v="25253881.511841416"/>
    <n v="27135502.159846369"/>
    <n v="29095631.442657202"/>
    <n v="31136853.36977398"/>
    <e v="#N/A"/>
    <e v="#N/A"/>
    <n v="196304656.05569595"/>
    <n v="18463135.554460838"/>
    <n v="20055233.742716581"/>
    <n v="21716165.463640198"/>
    <n v="23448252.810759358"/>
    <n v="25253881.511841416"/>
    <n v="27135502.159846369"/>
    <n v="29095631.442657202"/>
    <n v="31136853.36977398"/>
    <n v="0"/>
    <n v="0"/>
    <x v="1"/>
  </r>
  <r>
    <x v="3"/>
    <x v="35"/>
    <n v="0"/>
    <s v="Central"/>
    <n v="0"/>
    <n v="0"/>
    <n v="0"/>
    <n v="0"/>
    <n v="0"/>
    <n v="0"/>
    <n v="0"/>
    <n v="0"/>
    <n v="0"/>
    <n v="0"/>
    <n v="0"/>
    <n v="0"/>
    <n v="0"/>
    <n v="0"/>
    <n v="0"/>
    <n v="0"/>
    <n v="0"/>
    <n v="0"/>
    <n v="0"/>
    <n v="0"/>
    <n v="0"/>
    <x v="1"/>
  </r>
  <r>
    <x v="3"/>
    <x v="35"/>
    <n v="0"/>
    <s v="Copperbelt"/>
    <n v="0"/>
    <n v="0"/>
    <n v="0"/>
    <n v="0"/>
    <n v="0"/>
    <n v="0"/>
    <n v="0"/>
    <n v="0"/>
    <n v="0"/>
    <n v="0"/>
    <n v="0"/>
    <n v="0"/>
    <n v="0"/>
    <n v="0"/>
    <n v="0"/>
    <n v="0"/>
    <n v="0"/>
    <n v="0"/>
    <n v="0"/>
    <n v="0"/>
    <n v="0"/>
    <x v="1"/>
  </r>
  <r>
    <x v="3"/>
    <x v="35"/>
    <n v="0"/>
    <s v="Eastern"/>
    <n v="0"/>
    <n v="0"/>
    <n v="0"/>
    <n v="0"/>
    <n v="0"/>
    <n v="0"/>
    <n v="0"/>
    <n v="0"/>
    <n v="0"/>
    <n v="0"/>
    <n v="0"/>
    <n v="0"/>
    <n v="0"/>
    <n v="0"/>
    <n v="0"/>
    <n v="0"/>
    <n v="0"/>
    <n v="0"/>
    <n v="0"/>
    <n v="0"/>
    <n v="0"/>
    <x v="1"/>
  </r>
  <r>
    <x v="3"/>
    <x v="35"/>
    <n v="0"/>
    <s v="Luapula"/>
    <n v="0"/>
    <n v="0"/>
    <n v="0"/>
    <n v="0"/>
    <n v="0"/>
    <n v="0"/>
    <n v="0"/>
    <n v="0"/>
    <n v="0"/>
    <n v="0"/>
    <n v="0"/>
    <n v="0"/>
    <n v="0"/>
    <n v="0"/>
    <n v="0"/>
    <n v="0"/>
    <n v="0"/>
    <n v="0"/>
    <n v="0"/>
    <n v="0"/>
    <n v="0"/>
    <x v="1"/>
  </r>
  <r>
    <x v="3"/>
    <x v="35"/>
    <n v="0"/>
    <s v="Lusaka"/>
    <n v="0"/>
    <n v="0"/>
    <n v="0"/>
    <n v="0"/>
    <n v="0"/>
    <n v="0"/>
    <n v="0"/>
    <n v="0"/>
    <n v="0"/>
    <n v="0"/>
    <n v="0"/>
    <n v="0"/>
    <n v="0"/>
    <n v="0"/>
    <n v="0"/>
    <n v="0"/>
    <n v="0"/>
    <n v="0"/>
    <n v="0"/>
    <n v="0"/>
    <n v="0"/>
    <x v="1"/>
  </r>
  <r>
    <x v="3"/>
    <x v="35"/>
    <n v="0"/>
    <s v="Muchinga"/>
    <n v="0"/>
    <n v="0"/>
    <n v="0"/>
    <n v="0"/>
    <n v="0"/>
    <n v="0"/>
    <n v="0"/>
    <n v="0"/>
    <n v="0"/>
    <n v="0"/>
    <n v="0"/>
    <n v="0"/>
    <n v="0"/>
    <n v="0"/>
    <n v="0"/>
    <n v="0"/>
    <n v="0"/>
    <n v="0"/>
    <n v="0"/>
    <n v="0"/>
    <n v="0"/>
    <x v="1"/>
  </r>
  <r>
    <x v="3"/>
    <x v="35"/>
    <n v="0"/>
    <s v="Northern"/>
    <n v="0"/>
    <n v="0"/>
    <n v="0"/>
    <n v="0"/>
    <n v="0"/>
    <n v="0"/>
    <n v="0"/>
    <n v="0"/>
    <n v="0"/>
    <n v="0"/>
    <n v="0"/>
    <n v="0"/>
    <n v="0"/>
    <n v="0"/>
    <n v="0"/>
    <n v="0"/>
    <n v="0"/>
    <n v="0"/>
    <n v="0"/>
    <n v="0"/>
    <n v="0"/>
    <x v="1"/>
  </r>
  <r>
    <x v="3"/>
    <x v="35"/>
    <n v="0"/>
    <s v="North Western"/>
    <n v="0"/>
    <n v="0"/>
    <n v="0"/>
    <n v="0"/>
    <n v="0"/>
    <n v="0"/>
    <n v="0"/>
    <n v="0"/>
    <n v="0"/>
    <n v="0"/>
    <n v="0"/>
    <n v="0"/>
    <n v="0"/>
    <n v="0"/>
    <n v="0"/>
    <n v="0"/>
    <n v="0"/>
    <n v="0"/>
    <n v="0"/>
    <n v="0"/>
    <n v="0"/>
    <x v="1"/>
  </r>
  <r>
    <x v="3"/>
    <x v="35"/>
    <n v="0"/>
    <s v="Southern"/>
    <n v="0"/>
    <n v="0"/>
    <n v="0"/>
    <n v="0"/>
    <n v="0"/>
    <n v="0"/>
    <n v="0"/>
    <n v="0"/>
    <n v="0"/>
    <n v="0"/>
    <n v="0"/>
    <n v="0"/>
    <n v="0"/>
    <n v="0"/>
    <n v="0"/>
    <n v="0"/>
    <n v="0"/>
    <n v="0"/>
    <n v="0"/>
    <n v="0"/>
    <n v="0"/>
    <x v="1"/>
  </r>
  <r>
    <x v="3"/>
    <x v="35"/>
    <n v="0"/>
    <s v="Western"/>
    <n v="0"/>
    <n v="0"/>
    <n v="0"/>
    <n v="0"/>
    <n v="0"/>
    <n v="0"/>
    <n v="0"/>
    <n v="0"/>
    <n v="0"/>
    <n v="0"/>
    <n v="0"/>
    <n v="0"/>
    <n v="0"/>
    <n v="0"/>
    <n v="0"/>
    <n v="0"/>
    <n v="0"/>
    <n v="0"/>
    <n v="0"/>
    <n v="0"/>
    <n v="0"/>
    <x v="1"/>
  </r>
  <r>
    <x v="3"/>
    <x v="35"/>
    <n v="0"/>
    <n v="0"/>
    <n v="0"/>
    <n v="0"/>
    <n v="0"/>
    <n v="0"/>
    <n v="0"/>
    <n v="0"/>
    <n v="0"/>
    <n v="0"/>
    <n v="0"/>
    <n v="0"/>
    <n v="0"/>
    <n v="0"/>
    <n v="0"/>
    <n v="0"/>
    <n v="0"/>
    <n v="0"/>
    <n v="0"/>
    <n v="0"/>
    <n v="0"/>
    <n v="0"/>
    <n v="0"/>
    <x v="1"/>
  </r>
  <r>
    <x v="3"/>
    <x v="35"/>
    <n v="0"/>
    <n v="0"/>
    <n v="0"/>
    <n v="0"/>
    <n v="0"/>
    <n v="0"/>
    <n v="0"/>
    <n v="0"/>
    <n v="0"/>
    <n v="0"/>
    <n v="0"/>
    <n v="0"/>
    <n v="0"/>
    <n v="0"/>
    <n v="0"/>
    <n v="0"/>
    <n v="0"/>
    <n v="0"/>
    <n v="0"/>
    <n v="0"/>
    <n v="0"/>
    <n v="0"/>
    <n v="0"/>
    <x v="1"/>
  </r>
  <r>
    <x v="3"/>
    <x v="35"/>
    <n v="0"/>
    <n v="0"/>
    <n v="0"/>
    <n v="0"/>
    <n v="0"/>
    <n v="0"/>
    <n v="0"/>
    <n v="0"/>
    <n v="0"/>
    <n v="0"/>
    <n v="0"/>
    <n v="0"/>
    <n v="0"/>
    <n v="0"/>
    <n v="0"/>
    <n v="0"/>
    <n v="0"/>
    <n v="0"/>
    <n v="0"/>
    <n v="0"/>
    <n v="0"/>
    <n v="0"/>
    <n v="0"/>
    <x v="1"/>
  </r>
  <r>
    <x v="3"/>
    <x v="35"/>
    <n v="0"/>
    <n v="0"/>
    <n v="0"/>
    <n v="0"/>
    <n v="0"/>
    <n v="0"/>
    <n v="0"/>
    <n v="0"/>
    <n v="0"/>
    <n v="0"/>
    <n v="0"/>
    <n v="0"/>
    <n v="0"/>
    <n v="0"/>
    <n v="0"/>
    <n v="0"/>
    <n v="0"/>
    <n v="0"/>
    <n v="0"/>
    <n v="0"/>
    <n v="0"/>
    <n v="0"/>
    <n v="0"/>
    <x v="1"/>
  </r>
  <r>
    <x v="3"/>
    <x v="35"/>
    <n v="0"/>
    <n v="0"/>
    <n v="0"/>
    <n v="0"/>
    <n v="0"/>
    <n v="0"/>
    <n v="0"/>
    <n v="0"/>
    <n v="0"/>
    <n v="0"/>
    <n v="0"/>
    <n v="0"/>
    <n v="0"/>
    <n v="0"/>
    <n v="0"/>
    <n v="0"/>
    <n v="0"/>
    <n v="0"/>
    <n v="0"/>
    <n v="0"/>
    <n v="0"/>
    <n v="0"/>
    <n v="0"/>
    <x v="1"/>
  </r>
  <r>
    <x v="3"/>
    <x v="35"/>
    <n v="0"/>
    <s v="National-level"/>
    <n v="868411.977979496"/>
    <n v="1007640.3328346435"/>
    <n v="1161331.9610903729"/>
    <n v="1330476.0836107237"/>
    <n v="1516117.017521522"/>
    <n v="1719356.9004975662"/>
    <n v="1941358.5397404579"/>
    <n v="2183348.3910537395"/>
    <e v="#N/A"/>
    <e v="#N/A"/>
    <n v="11728041.204328522"/>
    <n v="868411.977979496"/>
    <n v="1007640.3328346435"/>
    <n v="1161331.9610903729"/>
    <n v="1330476.0836107237"/>
    <n v="1516117.017521522"/>
    <n v="1719356.9004975662"/>
    <n v="1941358.5397404579"/>
    <n v="2183348.3910537395"/>
    <n v="0"/>
    <n v="0"/>
    <x v="1"/>
  </r>
  <r>
    <x v="4"/>
    <x v="36"/>
    <n v="0"/>
    <s v="Central"/>
    <n v="0"/>
    <n v="0"/>
    <n v="0"/>
    <n v="0"/>
    <n v="0"/>
    <n v="0"/>
    <n v="0"/>
    <n v="0"/>
    <n v="0"/>
    <n v="0"/>
    <n v="0"/>
    <n v="0"/>
    <n v="0"/>
    <n v="0"/>
    <n v="0"/>
    <n v="0"/>
    <n v="0"/>
    <n v="0"/>
    <n v="0"/>
    <n v="0"/>
    <n v="0"/>
    <x v="1"/>
  </r>
  <r>
    <x v="4"/>
    <x v="36"/>
    <n v="0"/>
    <s v="Copperbelt"/>
    <n v="0"/>
    <n v="0"/>
    <n v="0"/>
    <n v="0"/>
    <n v="0"/>
    <n v="0"/>
    <n v="0"/>
    <n v="0"/>
    <n v="0"/>
    <n v="0"/>
    <n v="0"/>
    <n v="0"/>
    <n v="0"/>
    <n v="0"/>
    <n v="0"/>
    <n v="0"/>
    <n v="0"/>
    <n v="0"/>
    <n v="0"/>
    <n v="0"/>
    <n v="0"/>
    <x v="1"/>
  </r>
  <r>
    <x v="4"/>
    <x v="36"/>
    <n v="0"/>
    <s v="Eastern"/>
    <n v="0"/>
    <n v="0"/>
    <n v="0"/>
    <n v="0"/>
    <n v="0"/>
    <n v="0"/>
    <n v="0"/>
    <n v="0"/>
    <n v="0"/>
    <n v="0"/>
    <n v="0"/>
    <n v="0"/>
    <n v="0"/>
    <n v="0"/>
    <n v="0"/>
    <n v="0"/>
    <n v="0"/>
    <n v="0"/>
    <n v="0"/>
    <n v="0"/>
    <n v="0"/>
    <x v="1"/>
  </r>
  <r>
    <x v="4"/>
    <x v="36"/>
    <n v="0"/>
    <s v="Luapula"/>
    <n v="0"/>
    <n v="0"/>
    <n v="0"/>
    <n v="0"/>
    <n v="0"/>
    <n v="0"/>
    <n v="0"/>
    <n v="0"/>
    <n v="0"/>
    <n v="0"/>
    <n v="0"/>
    <n v="0"/>
    <n v="0"/>
    <n v="0"/>
    <n v="0"/>
    <n v="0"/>
    <n v="0"/>
    <n v="0"/>
    <n v="0"/>
    <n v="0"/>
    <n v="0"/>
    <x v="1"/>
  </r>
  <r>
    <x v="4"/>
    <x v="36"/>
    <n v="0"/>
    <s v="Lusaka"/>
    <n v="0"/>
    <n v="0"/>
    <n v="0"/>
    <n v="0"/>
    <n v="0"/>
    <n v="0"/>
    <n v="0"/>
    <n v="0"/>
    <n v="0"/>
    <n v="0"/>
    <n v="0"/>
    <n v="0"/>
    <n v="0"/>
    <n v="0"/>
    <n v="0"/>
    <n v="0"/>
    <n v="0"/>
    <n v="0"/>
    <n v="0"/>
    <n v="0"/>
    <n v="0"/>
    <x v="1"/>
  </r>
  <r>
    <x v="4"/>
    <x v="36"/>
    <n v="0"/>
    <s v="Muchinga"/>
    <n v="0"/>
    <n v="0"/>
    <n v="0"/>
    <n v="0"/>
    <n v="0"/>
    <n v="0"/>
    <n v="0"/>
    <n v="0"/>
    <n v="0"/>
    <n v="0"/>
    <n v="0"/>
    <n v="0"/>
    <n v="0"/>
    <n v="0"/>
    <n v="0"/>
    <n v="0"/>
    <n v="0"/>
    <n v="0"/>
    <n v="0"/>
    <n v="0"/>
    <n v="0"/>
    <x v="1"/>
  </r>
  <r>
    <x v="4"/>
    <x v="36"/>
    <n v="0"/>
    <s v="Northern"/>
    <n v="0"/>
    <n v="0"/>
    <n v="0"/>
    <n v="0"/>
    <n v="0"/>
    <n v="0"/>
    <n v="0"/>
    <n v="0"/>
    <n v="0"/>
    <n v="0"/>
    <n v="0"/>
    <n v="0"/>
    <n v="0"/>
    <n v="0"/>
    <n v="0"/>
    <n v="0"/>
    <n v="0"/>
    <n v="0"/>
    <n v="0"/>
    <n v="0"/>
    <n v="0"/>
    <x v="1"/>
  </r>
  <r>
    <x v="4"/>
    <x v="36"/>
    <n v="0"/>
    <s v="North Western"/>
    <n v="0"/>
    <n v="0"/>
    <n v="0"/>
    <n v="0"/>
    <n v="0"/>
    <n v="0"/>
    <n v="0"/>
    <n v="0"/>
    <n v="0"/>
    <n v="0"/>
    <n v="0"/>
    <n v="0"/>
    <n v="0"/>
    <n v="0"/>
    <n v="0"/>
    <n v="0"/>
    <n v="0"/>
    <n v="0"/>
    <n v="0"/>
    <n v="0"/>
    <n v="0"/>
    <x v="1"/>
  </r>
  <r>
    <x v="4"/>
    <x v="36"/>
    <n v="0"/>
    <s v="Southern"/>
    <n v="0"/>
    <n v="0"/>
    <n v="0"/>
    <n v="0"/>
    <n v="0"/>
    <n v="0"/>
    <n v="0"/>
    <n v="0"/>
    <n v="0"/>
    <n v="0"/>
    <n v="0"/>
    <n v="0"/>
    <n v="0"/>
    <n v="0"/>
    <n v="0"/>
    <n v="0"/>
    <n v="0"/>
    <n v="0"/>
    <n v="0"/>
    <n v="0"/>
    <n v="0"/>
    <x v="1"/>
  </r>
  <r>
    <x v="4"/>
    <x v="36"/>
    <n v="0"/>
    <s v="Western"/>
    <n v="0"/>
    <n v="0"/>
    <n v="0"/>
    <n v="0"/>
    <n v="0"/>
    <n v="0"/>
    <n v="0"/>
    <n v="0"/>
    <n v="0"/>
    <n v="0"/>
    <n v="0"/>
    <n v="0"/>
    <n v="0"/>
    <n v="0"/>
    <n v="0"/>
    <n v="0"/>
    <n v="0"/>
    <n v="0"/>
    <n v="0"/>
    <n v="0"/>
    <n v="0"/>
    <x v="1"/>
  </r>
  <r>
    <x v="4"/>
    <x v="36"/>
    <n v="0"/>
    <n v="0"/>
    <n v="0"/>
    <n v="0"/>
    <n v="0"/>
    <n v="0"/>
    <n v="0"/>
    <n v="0"/>
    <n v="0"/>
    <n v="0"/>
    <n v="0"/>
    <n v="0"/>
    <n v="0"/>
    <n v="0"/>
    <n v="0"/>
    <n v="0"/>
    <n v="0"/>
    <n v="0"/>
    <n v="0"/>
    <n v="0"/>
    <n v="0"/>
    <n v="0"/>
    <n v="0"/>
    <x v="1"/>
  </r>
  <r>
    <x v="4"/>
    <x v="36"/>
    <n v="0"/>
    <n v="0"/>
    <n v="0"/>
    <n v="0"/>
    <n v="0"/>
    <n v="0"/>
    <n v="0"/>
    <n v="0"/>
    <n v="0"/>
    <n v="0"/>
    <n v="0"/>
    <n v="0"/>
    <n v="0"/>
    <n v="0"/>
    <n v="0"/>
    <n v="0"/>
    <n v="0"/>
    <n v="0"/>
    <n v="0"/>
    <n v="0"/>
    <n v="0"/>
    <n v="0"/>
    <n v="0"/>
    <x v="1"/>
  </r>
  <r>
    <x v="4"/>
    <x v="36"/>
    <n v="0"/>
    <n v="0"/>
    <n v="0"/>
    <n v="0"/>
    <n v="0"/>
    <n v="0"/>
    <n v="0"/>
    <n v="0"/>
    <n v="0"/>
    <n v="0"/>
    <n v="0"/>
    <n v="0"/>
    <n v="0"/>
    <n v="0"/>
    <n v="0"/>
    <n v="0"/>
    <n v="0"/>
    <n v="0"/>
    <n v="0"/>
    <n v="0"/>
    <n v="0"/>
    <n v="0"/>
    <n v="0"/>
    <x v="1"/>
  </r>
  <r>
    <x v="4"/>
    <x v="36"/>
    <n v="0"/>
    <n v="0"/>
    <n v="0"/>
    <n v="0"/>
    <n v="0"/>
    <n v="0"/>
    <n v="0"/>
    <n v="0"/>
    <n v="0"/>
    <n v="0"/>
    <n v="0"/>
    <n v="0"/>
    <n v="0"/>
    <n v="0"/>
    <n v="0"/>
    <n v="0"/>
    <n v="0"/>
    <n v="0"/>
    <n v="0"/>
    <n v="0"/>
    <n v="0"/>
    <n v="0"/>
    <n v="0"/>
    <x v="1"/>
  </r>
  <r>
    <x v="4"/>
    <x v="36"/>
    <n v="0"/>
    <n v="0"/>
    <n v="0"/>
    <n v="0"/>
    <n v="0"/>
    <n v="0"/>
    <n v="0"/>
    <n v="0"/>
    <n v="0"/>
    <n v="0"/>
    <n v="0"/>
    <n v="0"/>
    <n v="0"/>
    <n v="0"/>
    <n v="0"/>
    <n v="0"/>
    <n v="0"/>
    <n v="0"/>
    <n v="0"/>
    <n v="0"/>
    <n v="0"/>
    <n v="0"/>
    <n v="0"/>
    <x v="1"/>
  </r>
  <r>
    <x v="4"/>
    <x v="36"/>
    <n v="0"/>
    <s v="National-level"/>
    <n v="18463.135554460838"/>
    <n v="20055.23374271658"/>
    <n v="21716.165463640198"/>
    <n v="23448.252810759357"/>
    <n v="25253.881511841417"/>
    <n v="27135.502159846368"/>
    <n v="29095.631442657203"/>
    <n v="31136.85336977398"/>
    <e v="#N/A"/>
    <e v="#N/A"/>
    <n v="196304.65605569593"/>
    <n v="18463.135554460838"/>
    <n v="20055.23374271658"/>
    <n v="21716.165463640198"/>
    <n v="23448.252810759357"/>
    <n v="25253.881511841417"/>
    <n v="27135.502159846368"/>
    <n v="29095.631442657203"/>
    <n v="31136.85336977398"/>
    <n v="0"/>
    <n v="0"/>
    <x v="1"/>
  </r>
  <r>
    <x v="4"/>
    <x v="37"/>
    <s v="Central level"/>
    <s v="Central"/>
    <n v="0"/>
    <n v="0"/>
    <n v="0"/>
    <n v="0"/>
    <n v="0"/>
    <n v="0"/>
    <n v="0"/>
    <n v="0"/>
    <n v="0"/>
    <n v="0"/>
    <n v="0"/>
    <n v="0"/>
    <n v="0"/>
    <n v="0"/>
    <n v="0"/>
    <n v="0"/>
    <n v="0"/>
    <n v="0"/>
    <n v="0"/>
    <n v="0"/>
    <n v="0"/>
    <x v="1"/>
  </r>
  <r>
    <x v="4"/>
    <x v="37"/>
    <s v="Central level"/>
    <s v="Copperbelt"/>
    <n v="0"/>
    <n v="0"/>
    <n v="0"/>
    <n v="0"/>
    <n v="0"/>
    <n v="0"/>
    <n v="0"/>
    <n v="0"/>
    <n v="0"/>
    <n v="0"/>
    <n v="0"/>
    <n v="0"/>
    <n v="0"/>
    <n v="0"/>
    <n v="0"/>
    <n v="0"/>
    <n v="0"/>
    <n v="0"/>
    <n v="0"/>
    <n v="0"/>
    <n v="0"/>
    <x v="1"/>
  </r>
  <r>
    <x v="4"/>
    <x v="37"/>
    <s v="Central level"/>
    <s v="Eastern"/>
    <n v="0"/>
    <n v="0"/>
    <n v="0"/>
    <n v="0"/>
    <n v="0"/>
    <n v="0"/>
    <n v="0"/>
    <n v="0"/>
    <n v="0"/>
    <n v="0"/>
    <n v="0"/>
    <n v="0"/>
    <n v="0"/>
    <n v="0"/>
    <n v="0"/>
    <n v="0"/>
    <n v="0"/>
    <n v="0"/>
    <n v="0"/>
    <n v="0"/>
    <n v="0"/>
    <x v="1"/>
  </r>
  <r>
    <x v="4"/>
    <x v="37"/>
    <s v="Central level"/>
    <s v="Luapula"/>
    <n v="0"/>
    <n v="0"/>
    <n v="0"/>
    <n v="0"/>
    <n v="0"/>
    <n v="0"/>
    <n v="0"/>
    <n v="0"/>
    <n v="0"/>
    <n v="0"/>
    <n v="0"/>
    <n v="0"/>
    <n v="0"/>
    <n v="0"/>
    <n v="0"/>
    <n v="0"/>
    <n v="0"/>
    <n v="0"/>
    <n v="0"/>
    <n v="0"/>
    <n v="0"/>
    <x v="1"/>
  </r>
  <r>
    <x v="4"/>
    <x v="37"/>
    <s v="Central level"/>
    <s v="Lusaka"/>
    <n v="0"/>
    <n v="0"/>
    <n v="0"/>
    <n v="0"/>
    <n v="0"/>
    <n v="0"/>
    <n v="0"/>
    <n v="0"/>
    <n v="0"/>
    <n v="0"/>
    <n v="0"/>
    <n v="0"/>
    <n v="0"/>
    <n v="0"/>
    <n v="0"/>
    <n v="0"/>
    <n v="0"/>
    <n v="0"/>
    <n v="0"/>
    <n v="0"/>
    <n v="0"/>
    <x v="1"/>
  </r>
  <r>
    <x v="4"/>
    <x v="37"/>
    <s v="Central level"/>
    <s v="Muchinga"/>
    <n v="0"/>
    <n v="0"/>
    <n v="0"/>
    <n v="0"/>
    <n v="0"/>
    <n v="0"/>
    <n v="0"/>
    <n v="0"/>
    <n v="0"/>
    <n v="0"/>
    <n v="0"/>
    <n v="0"/>
    <n v="0"/>
    <n v="0"/>
    <n v="0"/>
    <n v="0"/>
    <n v="0"/>
    <n v="0"/>
    <n v="0"/>
    <n v="0"/>
    <n v="0"/>
    <x v="1"/>
  </r>
  <r>
    <x v="4"/>
    <x v="37"/>
    <s v="Central level"/>
    <s v="Northern"/>
    <n v="0"/>
    <n v="0"/>
    <n v="0"/>
    <n v="0"/>
    <n v="0"/>
    <n v="0"/>
    <n v="0"/>
    <n v="0"/>
    <n v="0"/>
    <n v="0"/>
    <n v="0"/>
    <n v="0"/>
    <n v="0"/>
    <n v="0"/>
    <n v="0"/>
    <n v="0"/>
    <n v="0"/>
    <n v="0"/>
    <n v="0"/>
    <n v="0"/>
    <n v="0"/>
    <x v="1"/>
  </r>
  <r>
    <x v="4"/>
    <x v="37"/>
    <s v="Central level"/>
    <s v="North Western"/>
    <n v="0"/>
    <n v="0"/>
    <n v="0"/>
    <n v="0"/>
    <n v="0"/>
    <n v="0"/>
    <n v="0"/>
    <n v="0"/>
    <n v="0"/>
    <n v="0"/>
    <n v="0"/>
    <n v="0"/>
    <n v="0"/>
    <n v="0"/>
    <n v="0"/>
    <n v="0"/>
    <n v="0"/>
    <n v="0"/>
    <n v="0"/>
    <n v="0"/>
    <n v="0"/>
    <x v="1"/>
  </r>
  <r>
    <x v="4"/>
    <x v="37"/>
    <s v="Central level"/>
    <s v="Southern"/>
    <n v="0"/>
    <n v="0"/>
    <n v="0"/>
    <n v="0"/>
    <n v="0"/>
    <n v="0"/>
    <n v="0"/>
    <n v="0"/>
    <n v="0"/>
    <n v="0"/>
    <n v="0"/>
    <n v="0"/>
    <n v="0"/>
    <n v="0"/>
    <n v="0"/>
    <n v="0"/>
    <n v="0"/>
    <n v="0"/>
    <n v="0"/>
    <n v="0"/>
    <n v="0"/>
    <x v="1"/>
  </r>
  <r>
    <x v="4"/>
    <x v="37"/>
    <s v="Central level"/>
    <s v="Western"/>
    <n v="0"/>
    <n v="0"/>
    <n v="0"/>
    <n v="0"/>
    <n v="0"/>
    <n v="0"/>
    <n v="0"/>
    <n v="0"/>
    <n v="0"/>
    <n v="0"/>
    <n v="0"/>
    <n v="0"/>
    <n v="0"/>
    <n v="0"/>
    <n v="0"/>
    <n v="0"/>
    <n v="0"/>
    <n v="0"/>
    <n v="0"/>
    <n v="0"/>
    <n v="0"/>
    <x v="1"/>
  </r>
  <r>
    <x v="4"/>
    <x v="37"/>
    <s v="Central level"/>
    <n v="0"/>
    <n v="0"/>
    <n v="0"/>
    <n v="0"/>
    <n v="0"/>
    <n v="0"/>
    <n v="0"/>
    <n v="0"/>
    <n v="0"/>
    <n v="0"/>
    <n v="0"/>
    <n v="0"/>
    <n v="0"/>
    <n v="0"/>
    <n v="0"/>
    <n v="0"/>
    <n v="0"/>
    <n v="0"/>
    <n v="0"/>
    <n v="0"/>
    <n v="0"/>
    <n v="0"/>
    <x v="1"/>
  </r>
  <r>
    <x v="4"/>
    <x v="37"/>
    <s v="Central level"/>
    <n v="0"/>
    <n v="0"/>
    <n v="0"/>
    <n v="0"/>
    <n v="0"/>
    <n v="0"/>
    <n v="0"/>
    <n v="0"/>
    <n v="0"/>
    <n v="0"/>
    <n v="0"/>
    <n v="0"/>
    <n v="0"/>
    <n v="0"/>
    <n v="0"/>
    <n v="0"/>
    <n v="0"/>
    <n v="0"/>
    <n v="0"/>
    <n v="0"/>
    <n v="0"/>
    <n v="0"/>
    <x v="1"/>
  </r>
  <r>
    <x v="4"/>
    <x v="37"/>
    <s v="Central level"/>
    <n v="0"/>
    <n v="0"/>
    <n v="0"/>
    <n v="0"/>
    <n v="0"/>
    <n v="0"/>
    <n v="0"/>
    <n v="0"/>
    <n v="0"/>
    <n v="0"/>
    <n v="0"/>
    <n v="0"/>
    <n v="0"/>
    <n v="0"/>
    <n v="0"/>
    <n v="0"/>
    <n v="0"/>
    <n v="0"/>
    <n v="0"/>
    <n v="0"/>
    <n v="0"/>
    <n v="0"/>
    <x v="1"/>
  </r>
  <r>
    <x v="4"/>
    <x v="37"/>
    <s v="Central level"/>
    <n v="0"/>
    <n v="0"/>
    <n v="0"/>
    <n v="0"/>
    <n v="0"/>
    <n v="0"/>
    <n v="0"/>
    <n v="0"/>
    <n v="0"/>
    <n v="0"/>
    <n v="0"/>
    <n v="0"/>
    <n v="0"/>
    <n v="0"/>
    <n v="0"/>
    <n v="0"/>
    <n v="0"/>
    <n v="0"/>
    <n v="0"/>
    <n v="0"/>
    <n v="0"/>
    <n v="0"/>
    <x v="1"/>
  </r>
  <r>
    <x v="4"/>
    <x v="37"/>
    <s v="Central level"/>
    <n v="0"/>
    <n v="0"/>
    <n v="0"/>
    <n v="0"/>
    <n v="0"/>
    <n v="0"/>
    <n v="0"/>
    <n v="0"/>
    <n v="0"/>
    <n v="0"/>
    <n v="0"/>
    <n v="0"/>
    <n v="0"/>
    <n v="0"/>
    <n v="0"/>
    <n v="0"/>
    <n v="0"/>
    <n v="0"/>
    <n v="0"/>
    <n v="0"/>
    <n v="0"/>
    <n v="0"/>
    <x v="1"/>
  </r>
  <r>
    <x v="4"/>
    <x v="37"/>
    <s v="Central level"/>
    <s v="National-level"/>
    <n v="131841.17600000001"/>
    <n v="131841.17600000001"/>
    <n v="131841.17600000001"/>
    <n v="131841.17600000001"/>
    <n v="131841.17600000001"/>
    <n v="131841.17600000001"/>
    <n v="131841.17600000001"/>
    <n v="131841.17600000001"/>
    <n v="0"/>
    <n v="0"/>
    <n v="1054729.4080000001"/>
    <n v="131841.17600000001"/>
    <n v="131841.17600000001"/>
    <n v="131841.17600000001"/>
    <n v="131841.17600000001"/>
    <n v="131841.17600000001"/>
    <n v="131841.17600000001"/>
    <n v="131841.17600000001"/>
    <n v="131841.17600000001"/>
    <n v="0"/>
    <n v="0"/>
    <x v="1"/>
  </r>
  <r>
    <x v="4"/>
    <x v="38"/>
    <s v="Districts"/>
    <s v="Central"/>
    <n v="83709.420266666653"/>
    <n v="83709.420266666653"/>
    <n v="83709.420266666653"/>
    <n v="83709.420266666653"/>
    <n v="83709.420266666653"/>
    <n v="83709.420266666653"/>
    <n v="83709.420266666653"/>
    <n v="83709.420266666653"/>
    <n v="0"/>
    <n v="0"/>
    <n v="669675.36213333334"/>
    <n v="83709.420266666653"/>
    <n v="83709.420266666653"/>
    <n v="83709.420266666653"/>
    <n v="83709.420266666653"/>
    <n v="83709.420266666653"/>
    <n v="83709.420266666653"/>
    <n v="83709.420266666653"/>
    <n v="83709.420266666653"/>
    <n v="0"/>
    <n v="0"/>
    <x v="1"/>
  </r>
  <r>
    <x v="4"/>
    <x v="38"/>
    <s v="Districts"/>
    <s v="Copperbelt"/>
    <n v="139515.70044444443"/>
    <n v="139515.70044444443"/>
    <n v="139515.70044444443"/>
    <n v="139515.70044444443"/>
    <n v="139515.70044444443"/>
    <n v="139515.70044444443"/>
    <n v="139515.70044444443"/>
    <n v="139515.70044444443"/>
    <n v="0"/>
    <n v="0"/>
    <n v="1116125.6035555555"/>
    <n v="139515.70044444443"/>
    <n v="139515.70044444443"/>
    <n v="139515.70044444443"/>
    <n v="139515.70044444443"/>
    <n v="139515.70044444443"/>
    <n v="139515.70044444443"/>
    <n v="139515.70044444443"/>
    <n v="139515.70044444443"/>
    <n v="0"/>
    <n v="0"/>
    <x v="1"/>
  </r>
  <r>
    <x v="4"/>
    <x v="38"/>
    <s v="Districts"/>
    <s v="Eastern"/>
    <n v="97660.990311111105"/>
    <n v="97660.990311111105"/>
    <n v="97660.990311111105"/>
    <n v="97660.990311111105"/>
    <n v="97660.990311111105"/>
    <n v="97660.990311111105"/>
    <n v="97660.990311111105"/>
    <n v="97660.990311111105"/>
    <n v="0"/>
    <n v="0"/>
    <n v="781287.92248888884"/>
    <n v="97660.990311111105"/>
    <n v="97660.990311111105"/>
    <n v="97660.990311111105"/>
    <n v="97660.990311111105"/>
    <n v="97660.990311111105"/>
    <n v="97660.990311111105"/>
    <n v="97660.990311111105"/>
    <n v="97660.990311111105"/>
    <n v="0"/>
    <n v="0"/>
    <x v="1"/>
  </r>
  <r>
    <x v="4"/>
    <x v="38"/>
    <s v="Districts"/>
    <s v="Luapula"/>
    <n v="97660.990311111105"/>
    <n v="97660.990311111105"/>
    <n v="97660.990311111105"/>
    <n v="97660.990311111105"/>
    <n v="97660.990311111105"/>
    <n v="97660.990311111105"/>
    <n v="97660.990311111105"/>
    <n v="97660.990311111105"/>
    <n v="0"/>
    <n v="0"/>
    <n v="781287.92248888884"/>
    <n v="97660.990311111105"/>
    <n v="97660.990311111105"/>
    <n v="97660.990311111105"/>
    <n v="97660.990311111105"/>
    <n v="97660.990311111105"/>
    <n v="97660.990311111105"/>
    <n v="97660.990311111105"/>
    <n v="97660.990311111105"/>
    <n v="0"/>
    <n v="0"/>
    <x v="1"/>
  </r>
  <r>
    <x v="4"/>
    <x v="38"/>
    <s v="Districts"/>
    <s v="Lusaka"/>
    <n v="55806.280177777771"/>
    <n v="55806.280177777771"/>
    <n v="55806.280177777771"/>
    <n v="55806.280177777771"/>
    <n v="55806.280177777771"/>
    <n v="55806.280177777771"/>
    <n v="55806.280177777771"/>
    <n v="55806.280177777771"/>
    <n v="0"/>
    <n v="0"/>
    <n v="446450.24142222211"/>
    <n v="55806.280177777771"/>
    <n v="55806.280177777771"/>
    <n v="55806.280177777771"/>
    <n v="55806.280177777771"/>
    <n v="55806.280177777771"/>
    <n v="55806.280177777771"/>
    <n v="55806.280177777771"/>
    <n v="55806.280177777771"/>
    <n v="0"/>
    <n v="0"/>
    <x v="1"/>
  </r>
  <r>
    <x v="4"/>
    <x v="38"/>
    <s v="Districts"/>
    <s v="Muchinga"/>
    <n v="69757.850222222216"/>
    <n v="69757.850222222216"/>
    <n v="69757.850222222216"/>
    <n v="69757.850222222216"/>
    <n v="69757.850222222216"/>
    <n v="69757.850222222216"/>
    <n v="69757.850222222216"/>
    <n v="69757.850222222216"/>
    <n v="0"/>
    <n v="0"/>
    <n v="558062.80177777773"/>
    <n v="69757.850222222216"/>
    <n v="69757.850222222216"/>
    <n v="69757.850222222216"/>
    <n v="69757.850222222216"/>
    <n v="69757.850222222216"/>
    <n v="69757.850222222216"/>
    <n v="69757.850222222216"/>
    <n v="69757.850222222216"/>
    <n v="0"/>
    <n v="0"/>
    <x v="1"/>
  </r>
  <r>
    <x v="4"/>
    <x v="38"/>
    <s v="Districts"/>
    <s v="Northern"/>
    <n v="111612.56035555554"/>
    <n v="111612.56035555554"/>
    <n v="111612.56035555554"/>
    <n v="111612.56035555554"/>
    <n v="111612.56035555554"/>
    <n v="111612.56035555554"/>
    <n v="111612.56035555554"/>
    <n v="111612.56035555554"/>
    <n v="0"/>
    <n v="0"/>
    <n v="892900.48284444422"/>
    <n v="111612.56035555554"/>
    <n v="111612.56035555554"/>
    <n v="111612.56035555554"/>
    <n v="111612.56035555554"/>
    <n v="111612.56035555554"/>
    <n v="111612.56035555554"/>
    <n v="111612.56035555554"/>
    <n v="111612.56035555554"/>
    <n v="0"/>
    <n v="0"/>
    <x v="1"/>
  </r>
  <r>
    <x v="4"/>
    <x v="38"/>
    <s v="Districts"/>
    <s v="North Western"/>
    <n v="97660.990311111105"/>
    <n v="97660.990311111105"/>
    <n v="97660.990311111105"/>
    <n v="97660.990311111105"/>
    <n v="97660.990311111105"/>
    <n v="97660.990311111105"/>
    <n v="97660.990311111105"/>
    <n v="97660.990311111105"/>
    <n v="0"/>
    <n v="0"/>
    <n v="781287.92248888884"/>
    <n v="97660.990311111105"/>
    <n v="97660.990311111105"/>
    <n v="97660.990311111105"/>
    <n v="97660.990311111105"/>
    <n v="97660.990311111105"/>
    <n v="97660.990311111105"/>
    <n v="97660.990311111105"/>
    <n v="97660.990311111105"/>
    <n v="0"/>
    <n v="0"/>
    <x v="1"/>
  </r>
  <r>
    <x v="4"/>
    <x v="38"/>
    <s v="Districts"/>
    <s v="Southern"/>
    <n v="153467.2704888889"/>
    <n v="153467.2704888889"/>
    <n v="153467.2704888889"/>
    <n v="153467.2704888889"/>
    <n v="153467.2704888889"/>
    <n v="153467.2704888889"/>
    <n v="153467.2704888889"/>
    <n v="153467.2704888889"/>
    <n v="0"/>
    <n v="0"/>
    <n v="1227738.1639111114"/>
    <n v="153467.2704888889"/>
    <n v="153467.2704888889"/>
    <n v="153467.2704888889"/>
    <n v="153467.2704888889"/>
    <n v="153467.2704888889"/>
    <n v="153467.2704888889"/>
    <n v="153467.2704888889"/>
    <n v="153467.2704888889"/>
    <n v="0"/>
    <n v="0"/>
    <x v="1"/>
  </r>
  <r>
    <x v="4"/>
    <x v="38"/>
    <s v="Districts"/>
    <s v="Western"/>
    <n v="97660.990311111105"/>
    <n v="97660.990311111105"/>
    <n v="97660.990311111105"/>
    <n v="97660.990311111105"/>
    <n v="97660.990311111105"/>
    <n v="97660.990311111105"/>
    <n v="97660.990311111105"/>
    <n v="97660.990311111105"/>
    <n v="0"/>
    <n v="0"/>
    <n v="781287.92248888884"/>
    <n v="97660.990311111105"/>
    <n v="97660.990311111105"/>
    <n v="97660.990311111105"/>
    <n v="97660.990311111105"/>
    <n v="97660.990311111105"/>
    <n v="97660.990311111105"/>
    <n v="97660.990311111105"/>
    <n v="97660.990311111105"/>
    <n v="0"/>
    <n v="0"/>
    <x v="1"/>
  </r>
  <r>
    <x v="4"/>
    <x v="38"/>
    <s v="Districts"/>
    <n v="0"/>
    <n v="0"/>
    <n v="0"/>
    <n v="0"/>
    <n v="0"/>
    <n v="0"/>
    <n v="0"/>
    <n v="0"/>
    <n v="0"/>
    <n v="0"/>
    <n v="0"/>
    <n v="0"/>
    <n v="0"/>
    <n v="0"/>
    <n v="0"/>
    <n v="0"/>
    <n v="0"/>
    <n v="0"/>
    <n v="0"/>
    <n v="0"/>
    <n v="0"/>
    <n v="0"/>
    <x v="1"/>
  </r>
  <r>
    <x v="4"/>
    <x v="38"/>
    <s v="Districts"/>
    <n v="0"/>
    <n v="0"/>
    <n v="0"/>
    <n v="0"/>
    <n v="0"/>
    <n v="0"/>
    <n v="0"/>
    <n v="0"/>
    <n v="0"/>
    <n v="0"/>
    <n v="0"/>
    <n v="0"/>
    <n v="0"/>
    <n v="0"/>
    <n v="0"/>
    <n v="0"/>
    <n v="0"/>
    <n v="0"/>
    <n v="0"/>
    <n v="0"/>
    <n v="0"/>
    <n v="0"/>
    <x v="1"/>
  </r>
  <r>
    <x v="4"/>
    <x v="38"/>
    <s v="Districts"/>
    <n v="0"/>
    <n v="0"/>
    <n v="0"/>
    <n v="0"/>
    <n v="0"/>
    <n v="0"/>
    <n v="0"/>
    <n v="0"/>
    <n v="0"/>
    <n v="0"/>
    <n v="0"/>
    <n v="0"/>
    <n v="0"/>
    <n v="0"/>
    <n v="0"/>
    <n v="0"/>
    <n v="0"/>
    <n v="0"/>
    <n v="0"/>
    <n v="0"/>
    <n v="0"/>
    <n v="0"/>
    <x v="1"/>
  </r>
  <r>
    <x v="4"/>
    <x v="38"/>
    <s v="Districts"/>
    <n v="0"/>
    <n v="0"/>
    <n v="0"/>
    <n v="0"/>
    <n v="0"/>
    <n v="0"/>
    <n v="0"/>
    <n v="0"/>
    <n v="0"/>
    <n v="0"/>
    <n v="0"/>
    <n v="0"/>
    <n v="0"/>
    <n v="0"/>
    <n v="0"/>
    <n v="0"/>
    <n v="0"/>
    <n v="0"/>
    <n v="0"/>
    <n v="0"/>
    <n v="0"/>
    <n v="0"/>
    <x v="1"/>
  </r>
  <r>
    <x v="4"/>
    <x v="38"/>
    <s v="Districts"/>
    <n v="0"/>
    <n v="0"/>
    <n v="0"/>
    <n v="0"/>
    <n v="0"/>
    <n v="0"/>
    <n v="0"/>
    <n v="0"/>
    <n v="0"/>
    <n v="0"/>
    <n v="0"/>
    <n v="0"/>
    <n v="0"/>
    <n v="0"/>
    <n v="0"/>
    <n v="0"/>
    <n v="0"/>
    <n v="0"/>
    <n v="0"/>
    <n v="0"/>
    <n v="0"/>
    <n v="0"/>
    <x v="1"/>
  </r>
  <r>
    <x v="4"/>
    <x v="38"/>
    <s v="Districts"/>
    <s v="National-level"/>
    <n v="0"/>
    <n v="0"/>
    <n v="0"/>
    <n v="0"/>
    <n v="0"/>
    <n v="0"/>
    <n v="0"/>
    <n v="0"/>
    <n v="0"/>
    <n v="0"/>
    <n v="0"/>
    <n v="0"/>
    <n v="0"/>
    <n v="0"/>
    <n v="0"/>
    <n v="0"/>
    <n v="0"/>
    <n v="0"/>
    <n v="0"/>
    <n v="0"/>
    <n v="0"/>
    <x v="1"/>
  </r>
  <r>
    <x v="4"/>
    <x v="39"/>
    <s v="Evenly by province/region"/>
    <s v="Central"/>
    <n v="12214.800000000001"/>
    <n v="12214.800000000001"/>
    <n v="12214.800000000001"/>
    <n v="0"/>
    <n v="0"/>
    <n v="0"/>
    <n v="0"/>
    <n v="0"/>
    <n v="0"/>
    <n v="0"/>
    <n v="36644.400000000001"/>
    <n v="12214.800000000001"/>
    <n v="12214.800000000001"/>
    <n v="12214.800000000001"/>
    <n v="0"/>
    <n v="0"/>
    <n v="0"/>
    <n v="0"/>
    <n v="0"/>
    <n v="0"/>
    <n v="0"/>
    <x v="5"/>
  </r>
  <r>
    <x v="4"/>
    <x v="39"/>
    <s v="Evenly by province/region"/>
    <s v="Copperbelt"/>
    <n v="12214.800000000001"/>
    <n v="12214.800000000001"/>
    <n v="12214.800000000001"/>
    <n v="0"/>
    <n v="0"/>
    <n v="0"/>
    <n v="0"/>
    <n v="0"/>
    <n v="0"/>
    <n v="0"/>
    <n v="36644.400000000001"/>
    <n v="12214.800000000001"/>
    <n v="12214.800000000001"/>
    <n v="12214.800000000001"/>
    <n v="0"/>
    <n v="0"/>
    <n v="0"/>
    <n v="0"/>
    <n v="0"/>
    <n v="0"/>
    <n v="0"/>
    <x v="5"/>
  </r>
  <r>
    <x v="4"/>
    <x v="39"/>
    <s v="Evenly by province/region"/>
    <s v="Eastern"/>
    <n v="12214.800000000001"/>
    <n v="12214.800000000001"/>
    <n v="12214.800000000001"/>
    <n v="0"/>
    <n v="0"/>
    <n v="0"/>
    <n v="0"/>
    <n v="0"/>
    <n v="0"/>
    <n v="0"/>
    <n v="36644.400000000001"/>
    <n v="12214.800000000001"/>
    <n v="12214.800000000001"/>
    <n v="12214.800000000001"/>
    <n v="0"/>
    <n v="0"/>
    <n v="0"/>
    <n v="0"/>
    <n v="0"/>
    <n v="0"/>
    <n v="0"/>
    <x v="5"/>
  </r>
  <r>
    <x v="4"/>
    <x v="39"/>
    <s v="Evenly by province/region"/>
    <s v="Luapula"/>
    <n v="12214.800000000001"/>
    <n v="12214.800000000001"/>
    <n v="12214.800000000001"/>
    <n v="0"/>
    <n v="0"/>
    <n v="0"/>
    <n v="0"/>
    <n v="0"/>
    <n v="0"/>
    <n v="0"/>
    <n v="36644.400000000001"/>
    <n v="12214.800000000001"/>
    <n v="12214.800000000001"/>
    <n v="12214.800000000001"/>
    <n v="0"/>
    <n v="0"/>
    <n v="0"/>
    <n v="0"/>
    <n v="0"/>
    <n v="0"/>
    <n v="0"/>
    <x v="5"/>
  </r>
  <r>
    <x v="4"/>
    <x v="39"/>
    <s v="Evenly by province/region"/>
    <s v="Lusaka"/>
    <n v="12214.800000000001"/>
    <n v="12214.800000000001"/>
    <n v="12214.800000000001"/>
    <n v="0"/>
    <n v="0"/>
    <n v="0"/>
    <n v="0"/>
    <n v="0"/>
    <n v="0"/>
    <n v="0"/>
    <n v="36644.400000000001"/>
    <n v="12214.800000000001"/>
    <n v="12214.800000000001"/>
    <n v="12214.800000000001"/>
    <n v="0"/>
    <n v="0"/>
    <n v="0"/>
    <n v="0"/>
    <n v="0"/>
    <n v="0"/>
    <n v="0"/>
    <x v="5"/>
  </r>
  <r>
    <x v="4"/>
    <x v="39"/>
    <s v="Evenly by province/region"/>
    <s v="Muchinga"/>
    <n v="12214.800000000001"/>
    <n v="12214.800000000001"/>
    <n v="12214.800000000001"/>
    <n v="0"/>
    <n v="0"/>
    <n v="0"/>
    <n v="0"/>
    <n v="0"/>
    <n v="0"/>
    <n v="0"/>
    <n v="36644.400000000001"/>
    <n v="12214.800000000001"/>
    <n v="12214.800000000001"/>
    <n v="12214.800000000001"/>
    <n v="0"/>
    <n v="0"/>
    <n v="0"/>
    <n v="0"/>
    <n v="0"/>
    <n v="0"/>
    <n v="0"/>
    <x v="5"/>
  </r>
  <r>
    <x v="4"/>
    <x v="39"/>
    <s v="Evenly by province/region"/>
    <s v="Northern"/>
    <n v="12214.800000000001"/>
    <n v="12214.800000000001"/>
    <n v="12214.800000000001"/>
    <n v="0"/>
    <n v="0"/>
    <n v="0"/>
    <n v="0"/>
    <n v="0"/>
    <n v="0"/>
    <n v="0"/>
    <n v="36644.400000000001"/>
    <n v="12214.800000000001"/>
    <n v="12214.800000000001"/>
    <n v="12214.800000000001"/>
    <n v="0"/>
    <n v="0"/>
    <n v="0"/>
    <n v="0"/>
    <n v="0"/>
    <n v="0"/>
    <n v="0"/>
    <x v="5"/>
  </r>
  <r>
    <x v="4"/>
    <x v="39"/>
    <s v="Evenly by province/region"/>
    <s v="North Western"/>
    <n v="12214.800000000001"/>
    <n v="12214.800000000001"/>
    <n v="12214.800000000001"/>
    <n v="0"/>
    <n v="0"/>
    <n v="0"/>
    <n v="0"/>
    <n v="0"/>
    <n v="0"/>
    <n v="0"/>
    <n v="36644.400000000001"/>
    <n v="12214.800000000001"/>
    <n v="12214.800000000001"/>
    <n v="12214.800000000001"/>
    <n v="0"/>
    <n v="0"/>
    <n v="0"/>
    <n v="0"/>
    <n v="0"/>
    <n v="0"/>
    <n v="0"/>
    <x v="5"/>
  </r>
  <r>
    <x v="4"/>
    <x v="39"/>
    <s v="Evenly by province/region"/>
    <s v="Southern"/>
    <n v="12214.800000000001"/>
    <n v="12214.800000000001"/>
    <n v="12214.800000000001"/>
    <n v="0"/>
    <n v="0"/>
    <n v="0"/>
    <n v="0"/>
    <n v="0"/>
    <n v="0"/>
    <n v="0"/>
    <n v="36644.400000000001"/>
    <n v="12214.800000000001"/>
    <n v="12214.800000000001"/>
    <n v="12214.800000000001"/>
    <n v="0"/>
    <n v="0"/>
    <n v="0"/>
    <n v="0"/>
    <n v="0"/>
    <n v="0"/>
    <n v="0"/>
    <x v="5"/>
  </r>
  <r>
    <x v="4"/>
    <x v="39"/>
    <s v="Evenly by province/region"/>
    <s v="Western"/>
    <n v="12214.800000000001"/>
    <n v="12214.800000000001"/>
    <n v="12214.800000000001"/>
    <n v="0"/>
    <n v="0"/>
    <n v="0"/>
    <n v="0"/>
    <n v="0"/>
    <n v="0"/>
    <n v="0"/>
    <n v="36644.400000000001"/>
    <n v="12214.800000000001"/>
    <n v="12214.800000000001"/>
    <n v="12214.800000000001"/>
    <n v="0"/>
    <n v="0"/>
    <n v="0"/>
    <n v="0"/>
    <n v="0"/>
    <n v="0"/>
    <n v="0"/>
    <x v="5"/>
  </r>
  <r>
    <x v="4"/>
    <x v="39"/>
    <s v="Evenly by province/region"/>
    <n v="0"/>
    <n v="0"/>
    <n v="0"/>
    <n v="0"/>
    <n v="0"/>
    <n v="0"/>
    <n v="0"/>
    <n v="0"/>
    <n v="0"/>
    <n v="0"/>
    <n v="0"/>
    <n v="0"/>
    <n v="0"/>
    <n v="0"/>
    <n v="0"/>
    <n v="0"/>
    <n v="0"/>
    <n v="0"/>
    <n v="0"/>
    <n v="0"/>
    <n v="0"/>
    <n v="0"/>
    <x v="5"/>
  </r>
  <r>
    <x v="4"/>
    <x v="39"/>
    <s v="Evenly by province/region"/>
    <n v="0"/>
    <n v="0"/>
    <n v="0"/>
    <n v="0"/>
    <n v="0"/>
    <n v="0"/>
    <n v="0"/>
    <n v="0"/>
    <n v="0"/>
    <n v="0"/>
    <n v="0"/>
    <n v="0"/>
    <n v="0"/>
    <n v="0"/>
    <n v="0"/>
    <n v="0"/>
    <n v="0"/>
    <n v="0"/>
    <n v="0"/>
    <n v="0"/>
    <n v="0"/>
    <n v="0"/>
    <x v="5"/>
  </r>
  <r>
    <x v="4"/>
    <x v="39"/>
    <s v="Evenly by province/region"/>
    <n v="0"/>
    <n v="0"/>
    <n v="0"/>
    <n v="0"/>
    <n v="0"/>
    <n v="0"/>
    <n v="0"/>
    <n v="0"/>
    <n v="0"/>
    <n v="0"/>
    <n v="0"/>
    <n v="0"/>
    <n v="0"/>
    <n v="0"/>
    <n v="0"/>
    <n v="0"/>
    <n v="0"/>
    <n v="0"/>
    <n v="0"/>
    <n v="0"/>
    <n v="0"/>
    <n v="0"/>
    <x v="5"/>
  </r>
  <r>
    <x v="4"/>
    <x v="39"/>
    <s v="Evenly by province/region"/>
    <n v="0"/>
    <n v="0"/>
    <n v="0"/>
    <n v="0"/>
    <n v="0"/>
    <n v="0"/>
    <n v="0"/>
    <n v="0"/>
    <n v="0"/>
    <n v="0"/>
    <n v="0"/>
    <n v="0"/>
    <n v="0"/>
    <n v="0"/>
    <n v="0"/>
    <n v="0"/>
    <n v="0"/>
    <n v="0"/>
    <n v="0"/>
    <n v="0"/>
    <n v="0"/>
    <n v="0"/>
    <x v="5"/>
  </r>
  <r>
    <x v="4"/>
    <x v="39"/>
    <s v="Evenly by province/region"/>
    <n v="0"/>
    <n v="0"/>
    <n v="0"/>
    <n v="0"/>
    <n v="0"/>
    <n v="0"/>
    <n v="0"/>
    <n v="0"/>
    <n v="0"/>
    <n v="0"/>
    <n v="0"/>
    <n v="0"/>
    <n v="0"/>
    <n v="0"/>
    <n v="0"/>
    <n v="0"/>
    <n v="0"/>
    <n v="0"/>
    <n v="0"/>
    <n v="0"/>
    <n v="0"/>
    <n v="0"/>
    <x v="5"/>
  </r>
  <r>
    <x v="4"/>
    <x v="39"/>
    <s v="Evenly by province/region"/>
    <s v="National-level"/>
    <n v="0"/>
    <n v="0"/>
    <n v="0"/>
    <n v="0"/>
    <n v="0"/>
    <n v="0"/>
    <n v="0"/>
    <n v="0"/>
    <n v="0"/>
    <n v="0"/>
    <n v="0"/>
    <n v="0"/>
    <n v="0"/>
    <n v="0"/>
    <n v="0"/>
    <n v="0"/>
    <n v="0"/>
    <n v="0"/>
    <n v="0"/>
    <n v="0"/>
    <n v="0"/>
    <x v="5"/>
  </r>
  <r>
    <x v="4"/>
    <x v="40"/>
    <s v="Central level"/>
    <s v="Central"/>
    <n v="0"/>
    <n v="0"/>
    <n v="0"/>
    <n v="0"/>
    <n v="0"/>
    <n v="0"/>
    <n v="0"/>
    <n v="0"/>
    <n v="0"/>
    <n v="0"/>
    <n v="0"/>
    <n v="0"/>
    <n v="0"/>
    <n v="0"/>
    <n v="0"/>
    <n v="0"/>
    <n v="0"/>
    <n v="0"/>
    <n v="0"/>
    <n v="0"/>
    <n v="0"/>
    <x v="1"/>
  </r>
  <r>
    <x v="4"/>
    <x v="40"/>
    <s v="Central level"/>
    <s v="Copperbelt"/>
    <n v="0"/>
    <n v="0"/>
    <n v="0"/>
    <n v="0"/>
    <n v="0"/>
    <n v="0"/>
    <n v="0"/>
    <n v="0"/>
    <n v="0"/>
    <n v="0"/>
    <n v="0"/>
    <n v="0"/>
    <n v="0"/>
    <n v="0"/>
    <n v="0"/>
    <n v="0"/>
    <n v="0"/>
    <n v="0"/>
    <n v="0"/>
    <n v="0"/>
    <n v="0"/>
    <x v="1"/>
  </r>
  <r>
    <x v="4"/>
    <x v="40"/>
    <s v="Central level"/>
    <s v="Eastern"/>
    <n v="0"/>
    <n v="0"/>
    <n v="0"/>
    <n v="0"/>
    <n v="0"/>
    <n v="0"/>
    <n v="0"/>
    <n v="0"/>
    <n v="0"/>
    <n v="0"/>
    <n v="0"/>
    <n v="0"/>
    <n v="0"/>
    <n v="0"/>
    <n v="0"/>
    <n v="0"/>
    <n v="0"/>
    <n v="0"/>
    <n v="0"/>
    <n v="0"/>
    <n v="0"/>
    <x v="1"/>
  </r>
  <r>
    <x v="4"/>
    <x v="40"/>
    <s v="Central level"/>
    <s v="Luapula"/>
    <n v="0"/>
    <n v="0"/>
    <n v="0"/>
    <n v="0"/>
    <n v="0"/>
    <n v="0"/>
    <n v="0"/>
    <n v="0"/>
    <n v="0"/>
    <n v="0"/>
    <n v="0"/>
    <n v="0"/>
    <n v="0"/>
    <n v="0"/>
    <n v="0"/>
    <n v="0"/>
    <n v="0"/>
    <n v="0"/>
    <n v="0"/>
    <n v="0"/>
    <n v="0"/>
    <x v="1"/>
  </r>
  <r>
    <x v="4"/>
    <x v="40"/>
    <s v="Central level"/>
    <s v="Lusaka"/>
    <n v="0"/>
    <n v="0"/>
    <n v="0"/>
    <n v="0"/>
    <n v="0"/>
    <n v="0"/>
    <n v="0"/>
    <n v="0"/>
    <n v="0"/>
    <n v="0"/>
    <n v="0"/>
    <n v="0"/>
    <n v="0"/>
    <n v="0"/>
    <n v="0"/>
    <n v="0"/>
    <n v="0"/>
    <n v="0"/>
    <n v="0"/>
    <n v="0"/>
    <n v="0"/>
    <x v="1"/>
  </r>
  <r>
    <x v="4"/>
    <x v="40"/>
    <s v="Central level"/>
    <s v="Muchinga"/>
    <n v="0"/>
    <n v="0"/>
    <n v="0"/>
    <n v="0"/>
    <n v="0"/>
    <n v="0"/>
    <n v="0"/>
    <n v="0"/>
    <n v="0"/>
    <n v="0"/>
    <n v="0"/>
    <n v="0"/>
    <n v="0"/>
    <n v="0"/>
    <n v="0"/>
    <n v="0"/>
    <n v="0"/>
    <n v="0"/>
    <n v="0"/>
    <n v="0"/>
    <n v="0"/>
    <x v="1"/>
  </r>
  <r>
    <x v="4"/>
    <x v="40"/>
    <s v="Central level"/>
    <s v="Northern"/>
    <n v="0"/>
    <n v="0"/>
    <n v="0"/>
    <n v="0"/>
    <n v="0"/>
    <n v="0"/>
    <n v="0"/>
    <n v="0"/>
    <n v="0"/>
    <n v="0"/>
    <n v="0"/>
    <n v="0"/>
    <n v="0"/>
    <n v="0"/>
    <n v="0"/>
    <n v="0"/>
    <n v="0"/>
    <n v="0"/>
    <n v="0"/>
    <n v="0"/>
    <n v="0"/>
    <x v="1"/>
  </r>
  <r>
    <x v="4"/>
    <x v="40"/>
    <s v="Central level"/>
    <s v="North Western"/>
    <n v="0"/>
    <n v="0"/>
    <n v="0"/>
    <n v="0"/>
    <n v="0"/>
    <n v="0"/>
    <n v="0"/>
    <n v="0"/>
    <n v="0"/>
    <n v="0"/>
    <n v="0"/>
    <n v="0"/>
    <n v="0"/>
    <n v="0"/>
    <n v="0"/>
    <n v="0"/>
    <n v="0"/>
    <n v="0"/>
    <n v="0"/>
    <n v="0"/>
    <n v="0"/>
    <x v="1"/>
  </r>
  <r>
    <x v="4"/>
    <x v="40"/>
    <s v="Central level"/>
    <s v="Southern"/>
    <n v="0"/>
    <n v="0"/>
    <n v="0"/>
    <n v="0"/>
    <n v="0"/>
    <n v="0"/>
    <n v="0"/>
    <n v="0"/>
    <n v="0"/>
    <n v="0"/>
    <n v="0"/>
    <n v="0"/>
    <n v="0"/>
    <n v="0"/>
    <n v="0"/>
    <n v="0"/>
    <n v="0"/>
    <n v="0"/>
    <n v="0"/>
    <n v="0"/>
    <n v="0"/>
    <x v="1"/>
  </r>
  <r>
    <x v="4"/>
    <x v="40"/>
    <s v="Central level"/>
    <s v="Western"/>
    <n v="0"/>
    <n v="0"/>
    <n v="0"/>
    <n v="0"/>
    <n v="0"/>
    <n v="0"/>
    <n v="0"/>
    <n v="0"/>
    <n v="0"/>
    <n v="0"/>
    <n v="0"/>
    <n v="0"/>
    <n v="0"/>
    <n v="0"/>
    <n v="0"/>
    <n v="0"/>
    <n v="0"/>
    <n v="0"/>
    <n v="0"/>
    <n v="0"/>
    <n v="0"/>
    <x v="1"/>
  </r>
  <r>
    <x v="4"/>
    <x v="40"/>
    <s v="Central level"/>
    <n v="0"/>
    <n v="0"/>
    <n v="0"/>
    <n v="0"/>
    <n v="0"/>
    <n v="0"/>
    <n v="0"/>
    <n v="0"/>
    <n v="0"/>
    <n v="0"/>
    <n v="0"/>
    <n v="0"/>
    <n v="0"/>
    <n v="0"/>
    <n v="0"/>
    <n v="0"/>
    <n v="0"/>
    <n v="0"/>
    <n v="0"/>
    <n v="0"/>
    <n v="0"/>
    <n v="0"/>
    <x v="1"/>
  </r>
  <r>
    <x v="4"/>
    <x v="40"/>
    <s v="Central level"/>
    <n v="0"/>
    <n v="0"/>
    <n v="0"/>
    <n v="0"/>
    <n v="0"/>
    <n v="0"/>
    <n v="0"/>
    <n v="0"/>
    <n v="0"/>
    <n v="0"/>
    <n v="0"/>
    <n v="0"/>
    <n v="0"/>
    <n v="0"/>
    <n v="0"/>
    <n v="0"/>
    <n v="0"/>
    <n v="0"/>
    <n v="0"/>
    <n v="0"/>
    <n v="0"/>
    <n v="0"/>
    <x v="1"/>
  </r>
  <r>
    <x v="4"/>
    <x v="40"/>
    <s v="Central level"/>
    <n v="0"/>
    <n v="0"/>
    <n v="0"/>
    <n v="0"/>
    <n v="0"/>
    <n v="0"/>
    <n v="0"/>
    <n v="0"/>
    <n v="0"/>
    <n v="0"/>
    <n v="0"/>
    <n v="0"/>
    <n v="0"/>
    <n v="0"/>
    <n v="0"/>
    <n v="0"/>
    <n v="0"/>
    <n v="0"/>
    <n v="0"/>
    <n v="0"/>
    <n v="0"/>
    <n v="0"/>
    <x v="1"/>
  </r>
  <r>
    <x v="4"/>
    <x v="40"/>
    <s v="Central level"/>
    <n v="0"/>
    <n v="0"/>
    <n v="0"/>
    <n v="0"/>
    <n v="0"/>
    <n v="0"/>
    <n v="0"/>
    <n v="0"/>
    <n v="0"/>
    <n v="0"/>
    <n v="0"/>
    <n v="0"/>
    <n v="0"/>
    <n v="0"/>
    <n v="0"/>
    <n v="0"/>
    <n v="0"/>
    <n v="0"/>
    <n v="0"/>
    <n v="0"/>
    <n v="0"/>
    <n v="0"/>
    <x v="1"/>
  </r>
  <r>
    <x v="4"/>
    <x v="40"/>
    <s v="Central level"/>
    <n v="0"/>
    <n v="0"/>
    <n v="0"/>
    <n v="0"/>
    <n v="0"/>
    <n v="0"/>
    <n v="0"/>
    <n v="0"/>
    <n v="0"/>
    <n v="0"/>
    <n v="0"/>
    <n v="0"/>
    <n v="0"/>
    <n v="0"/>
    <n v="0"/>
    <n v="0"/>
    <n v="0"/>
    <n v="0"/>
    <n v="0"/>
    <n v="0"/>
    <n v="0"/>
    <n v="0"/>
    <x v="1"/>
  </r>
  <r>
    <x v="4"/>
    <x v="40"/>
    <s v="Central level"/>
    <s v="National-level"/>
    <n v="0"/>
    <n v="0"/>
    <n v="0"/>
    <n v="0"/>
    <n v="0"/>
    <n v="0"/>
    <n v="0"/>
    <n v="0"/>
    <n v="0"/>
    <n v="0"/>
    <n v="0"/>
    <n v="0"/>
    <n v="0"/>
    <n v="0"/>
    <n v="0"/>
    <n v="0"/>
    <n v="0"/>
    <n v="0"/>
    <n v="0"/>
    <n v="0"/>
    <n v="0"/>
    <x v="1"/>
  </r>
  <r>
    <x v="4"/>
    <x v="41"/>
    <s v="Central level"/>
    <s v="Central"/>
    <n v="0"/>
    <n v="0"/>
    <n v="0"/>
    <n v="0"/>
    <n v="0"/>
    <n v="0"/>
    <n v="0"/>
    <n v="0"/>
    <n v="0"/>
    <n v="0"/>
    <n v="0"/>
    <n v="0"/>
    <n v="0"/>
    <n v="0"/>
    <n v="0"/>
    <n v="0"/>
    <n v="0"/>
    <n v="0"/>
    <n v="0"/>
    <n v="0"/>
    <n v="0"/>
    <x v="1"/>
  </r>
  <r>
    <x v="4"/>
    <x v="41"/>
    <s v="Central level"/>
    <s v="Copperbelt"/>
    <n v="0"/>
    <n v="0"/>
    <n v="0"/>
    <n v="0"/>
    <n v="0"/>
    <n v="0"/>
    <n v="0"/>
    <n v="0"/>
    <n v="0"/>
    <n v="0"/>
    <n v="0"/>
    <n v="0"/>
    <n v="0"/>
    <n v="0"/>
    <n v="0"/>
    <n v="0"/>
    <n v="0"/>
    <n v="0"/>
    <n v="0"/>
    <n v="0"/>
    <n v="0"/>
    <x v="1"/>
  </r>
  <r>
    <x v="4"/>
    <x v="41"/>
    <s v="Central level"/>
    <s v="Eastern"/>
    <n v="0"/>
    <n v="0"/>
    <n v="0"/>
    <n v="0"/>
    <n v="0"/>
    <n v="0"/>
    <n v="0"/>
    <n v="0"/>
    <n v="0"/>
    <n v="0"/>
    <n v="0"/>
    <n v="0"/>
    <n v="0"/>
    <n v="0"/>
    <n v="0"/>
    <n v="0"/>
    <n v="0"/>
    <n v="0"/>
    <n v="0"/>
    <n v="0"/>
    <n v="0"/>
    <x v="1"/>
  </r>
  <r>
    <x v="4"/>
    <x v="41"/>
    <s v="Central level"/>
    <s v="Luapula"/>
    <n v="0"/>
    <n v="0"/>
    <n v="0"/>
    <n v="0"/>
    <n v="0"/>
    <n v="0"/>
    <n v="0"/>
    <n v="0"/>
    <n v="0"/>
    <n v="0"/>
    <n v="0"/>
    <n v="0"/>
    <n v="0"/>
    <n v="0"/>
    <n v="0"/>
    <n v="0"/>
    <n v="0"/>
    <n v="0"/>
    <n v="0"/>
    <n v="0"/>
    <n v="0"/>
    <x v="1"/>
  </r>
  <r>
    <x v="4"/>
    <x v="41"/>
    <s v="Central level"/>
    <s v="Lusaka"/>
    <n v="0"/>
    <n v="0"/>
    <n v="0"/>
    <n v="0"/>
    <n v="0"/>
    <n v="0"/>
    <n v="0"/>
    <n v="0"/>
    <n v="0"/>
    <n v="0"/>
    <n v="0"/>
    <n v="0"/>
    <n v="0"/>
    <n v="0"/>
    <n v="0"/>
    <n v="0"/>
    <n v="0"/>
    <n v="0"/>
    <n v="0"/>
    <n v="0"/>
    <n v="0"/>
    <x v="1"/>
  </r>
  <r>
    <x v="4"/>
    <x v="41"/>
    <s v="Central level"/>
    <s v="Muchinga"/>
    <n v="0"/>
    <n v="0"/>
    <n v="0"/>
    <n v="0"/>
    <n v="0"/>
    <n v="0"/>
    <n v="0"/>
    <n v="0"/>
    <n v="0"/>
    <n v="0"/>
    <n v="0"/>
    <n v="0"/>
    <n v="0"/>
    <n v="0"/>
    <n v="0"/>
    <n v="0"/>
    <n v="0"/>
    <n v="0"/>
    <n v="0"/>
    <n v="0"/>
    <n v="0"/>
    <x v="1"/>
  </r>
  <r>
    <x v="4"/>
    <x v="41"/>
    <s v="Central level"/>
    <s v="Northern"/>
    <n v="0"/>
    <n v="0"/>
    <n v="0"/>
    <n v="0"/>
    <n v="0"/>
    <n v="0"/>
    <n v="0"/>
    <n v="0"/>
    <n v="0"/>
    <n v="0"/>
    <n v="0"/>
    <n v="0"/>
    <n v="0"/>
    <n v="0"/>
    <n v="0"/>
    <n v="0"/>
    <n v="0"/>
    <n v="0"/>
    <n v="0"/>
    <n v="0"/>
    <n v="0"/>
    <x v="1"/>
  </r>
  <r>
    <x v="4"/>
    <x v="41"/>
    <s v="Central level"/>
    <s v="North Western"/>
    <n v="0"/>
    <n v="0"/>
    <n v="0"/>
    <n v="0"/>
    <n v="0"/>
    <n v="0"/>
    <n v="0"/>
    <n v="0"/>
    <n v="0"/>
    <n v="0"/>
    <n v="0"/>
    <n v="0"/>
    <n v="0"/>
    <n v="0"/>
    <n v="0"/>
    <n v="0"/>
    <n v="0"/>
    <n v="0"/>
    <n v="0"/>
    <n v="0"/>
    <n v="0"/>
    <x v="1"/>
  </r>
  <r>
    <x v="4"/>
    <x v="41"/>
    <s v="Central level"/>
    <s v="Southern"/>
    <n v="0"/>
    <n v="0"/>
    <n v="0"/>
    <n v="0"/>
    <n v="0"/>
    <n v="0"/>
    <n v="0"/>
    <n v="0"/>
    <n v="0"/>
    <n v="0"/>
    <n v="0"/>
    <n v="0"/>
    <n v="0"/>
    <n v="0"/>
    <n v="0"/>
    <n v="0"/>
    <n v="0"/>
    <n v="0"/>
    <n v="0"/>
    <n v="0"/>
    <n v="0"/>
    <x v="1"/>
  </r>
  <r>
    <x v="4"/>
    <x v="41"/>
    <s v="Central level"/>
    <s v="Western"/>
    <n v="0"/>
    <n v="0"/>
    <n v="0"/>
    <n v="0"/>
    <n v="0"/>
    <n v="0"/>
    <n v="0"/>
    <n v="0"/>
    <n v="0"/>
    <n v="0"/>
    <n v="0"/>
    <n v="0"/>
    <n v="0"/>
    <n v="0"/>
    <n v="0"/>
    <n v="0"/>
    <n v="0"/>
    <n v="0"/>
    <n v="0"/>
    <n v="0"/>
    <n v="0"/>
    <x v="1"/>
  </r>
  <r>
    <x v="4"/>
    <x v="41"/>
    <s v="Central level"/>
    <n v="0"/>
    <n v="0"/>
    <n v="0"/>
    <n v="0"/>
    <n v="0"/>
    <n v="0"/>
    <n v="0"/>
    <n v="0"/>
    <n v="0"/>
    <n v="0"/>
    <n v="0"/>
    <n v="0"/>
    <n v="0"/>
    <n v="0"/>
    <n v="0"/>
    <n v="0"/>
    <n v="0"/>
    <n v="0"/>
    <n v="0"/>
    <n v="0"/>
    <n v="0"/>
    <n v="0"/>
    <x v="1"/>
  </r>
  <r>
    <x v="4"/>
    <x v="41"/>
    <s v="Central level"/>
    <n v="0"/>
    <n v="0"/>
    <n v="0"/>
    <n v="0"/>
    <n v="0"/>
    <n v="0"/>
    <n v="0"/>
    <n v="0"/>
    <n v="0"/>
    <n v="0"/>
    <n v="0"/>
    <n v="0"/>
    <n v="0"/>
    <n v="0"/>
    <n v="0"/>
    <n v="0"/>
    <n v="0"/>
    <n v="0"/>
    <n v="0"/>
    <n v="0"/>
    <n v="0"/>
    <n v="0"/>
    <x v="1"/>
  </r>
  <r>
    <x v="4"/>
    <x v="41"/>
    <s v="Central level"/>
    <n v="0"/>
    <n v="0"/>
    <n v="0"/>
    <n v="0"/>
    <n v="0"/>
    <n v="0"/>
    <n v="0"/>
    <n v="0"/>
    <n v="0"/>
    <n v="0"/>
    <n v="0"/>
    <n v="0"/>
    <n v="0"/>
    <n v="0"/>
    <n v="0"/>
    <n v="0"/>
    <n v="0"/>
    <n v="0"/>
    <n v="0"/>
    <n v="0"/>
    <n v="0"/>
    <n v="0"/>
    <x v="1"/>
  </r>
  <r>
    <x v="4"/>
    <x v="41"/>
    <s v="Central level"/>
    <n v="0"/>
    <n v="0"/>
    <n v="0"/>
    <n v="0"/>
    <n v="0"/>
    <n v="0"/>
    <n v="0"/>
    <n v="0"/>
    <n v="0"/>
    <n v="0"/>
    <n v="0"/>
    <n v="0"/>
    <n v="0"/>
    <n v="0"/>
    <n v="0"/>
    <n v="0"/>
    <n v="0"/>
    <n v="0"/>
    <n v="0"/>
    <n v="0"/>
    <n v="0"/>
    <n v="0"/>
    <x v="1"/>
  </r>
  <r>
    <x v="4"/>
    <x v="41"/>
    <s v="Central level"/>
    <n v="0"/>
    <n v="0"/>
    <n v="0"/>
    <n v="0"/>
    <n v="0"/>
    <n v="0"/>
    <n v="0"/>
    <n v="0"/>
    <n v="0"/>
    <n v="0"/>
    <n v="0"/>
    <n v="0"/>
    <n v="0"/>
    <n v="0"/>
    <n v="0"/>
    <n v="0"/>
    <n v="0"/>
    <n v="0"/>
    <n v="0"/>
    <n v="0"/>
    <n v="0"/>
    <n v="0"/>
    <x v="1"/>
  </r>
  <r>
    <x v="4"/>
    <x v="41"/>
    <s v="Central level"/>
    <s v="National-level"/>
    <n v="0"/>
    <n v="0"/>
    <n v="0"/>
    <n v="0"/>
    <n v="0"/>
    <n v="0"/>
    <n v="0"/>
    <n v="0"/>
    <n v="0"/>
    <n v="0"/>
    <n v="0"/>
    <n v="0"/>
    <n v="0"/>
    <n v="0"/>
    <n v="0"/>
    <n v="0"/>
    <n v="0"/>
    <n v="0"/>
    <n v="0"/>
    <n v="0"/>
    <n v="0"/>
    <x v="1"/>
  </r>
  <r>
    <x v="4"/>
    <x v="42"/>
    <s v="Central level"/>
    <s v="Central"/>
    <n v="0"/>
    <n v="0"/>
    <n v="0"/>
    <n v="0"/>
    <n v="0"/>
    <n v="0"/>
    <n v="0"/>
    <n v="0"/>
    <n v="0"/>
    <n v="0"/>
    <n v="0"/>
    <n v="0"/>
    <n v="0"/>
    <n v="0"/>
    <n v="0"/>
    <n v="0"/>
    <n v="0"/>
    <n v="0"/>
    <n v="0"/>
    <n v="0"/>
    <n v="0"/>
    <x v="1"/>
  </r>
  <r>
    <x v="4"/>
    <x v="42"/>
    <s v="Central level"/>
    <s v="Copperbelt"/>
    <n v="0"/>
    <n v="0"/>
    <n v="0"/>
    <n v="0"/>
    <n v="0"/>
    <n v="0"/>
    <n v="0"/>
    <n v="0"/>
    <n v="0"/>
    <n v="0"/>
    <n v="0"/>
    <n v="0"/>
    <n v="0"/>
    <n v="0"/>
    <n v="0"/>
    <n v="0"/>
    <n v="0"/>
    <n v="0"/>
    <n v="0"/>
    <n v="0"/>
    <n v="0"/>
    <x v="1"/>
  </r>
  <r>
    <x v="4"/>
    <x v="42"/>
    <s v="Central level"/>
    <s v="Eastern"/>
    <n v="0"/>
    <n v="0"/>
    <n v="0"/>
    <n v="0"/>
    <n v="0"/>
    <n v="0"/>
    <n v="0"/>
    <n v="0"/>
    <n v="0"/>
    <n v="0"/>
    <n v="0"/>
    <n v="0"/>
    <n v="0"/>
    <n v="0"/>
    <n v="0"/>
    <n v="0"/>
    <n v="0"/>
    <n v="0"/>
    <n v="0"/>
    <n v="0"/>
    <n v="0"/>
    <x v="1"/>
  </r>
  <r>
    <x v="4"/>
    <x v="42"/>
    <s v="Central level"/>
    <s v="Luapula"/>
    <n v="0"/>
    <n v="0"/>
    <n v="0"/>
    <n v="0"/>
    <n v="0"/>
    <n v="0"/>
    <n v="0"/>
    <n v="0"/>
    <n v="0"/>
    <n v="0"/>
    <n v="0"/>
    <n v="0"/>
    <n v="0"/>
    <n v="0"/>
    <n v="0"/>
    <n v="0"/>
    <n v="0"/>
    <n v="0"/>
    <n v="0"/>
    <n v="0"/>
    <n v="0"/>
    <x v="1"/>
  </r>
  <r>
    <x v="4"/>
    <x v="42"/>
    <s v="Central level"/>
    <s v="Lusaka"/>
    <n v="0"/>
    <n v="0"/>
    <n v="0"/>
    <n v="0"/>
    <n v="0"/>
    <n v="0"/>
    <n v="0"/>
    <n v="0"/>
    <n v="0"/>
    <n v="0"/>
    <n v="0"/>
    <n v="0"/>
    <n v="0"/>
    <n v="0"/>
    <n v="0"/>
    <n v="0"/>
    <n v="0"/>
    <n v="0"/>
    <n v="0"/>
    <n v="0"/>
    <n v="0"/>
    <x v="1"/>
  </r>
  <r>
    <x v="4"/>
    <x v="42"/>
    <s v="Central level"/>
    <s v="Muchinga"/>
    <n v="0"/>
    <n v="0"/>
    <n v="0"/>
    <n v="0"/>
    <n v="0"/>
    <n v="0"/>
    <n v="0"/>
    <n v="0"/>
    <n v="0"/>
    <n v="0"/>
    <n v="0"/>
    <n v="0"/>
    <n v="0"/>
    <n v="0"/>
    <n v="0"/>
    <n v="0"/>
    <n v="0"/>
    <n v="0"/>
    <n v="0"/>
    <n v="0"/>
    <n v="0"/>
    <x v="1"/>
  </r>
  <r>
    <x v="4"/>
    <x v="42"/>
    <s v="Central level"/>
    <s v="Northern"/>
    <n v="0"/>
    <n v="0"/>
    <n v="0"/>
    <n v="0"/>
    <n v="0"/>
    <n v="0"/>
    <n v="0"/>
    <n v="0"/>
    <n v="0"/>
    <n v="0"/>
    <n v="0"/>
    <n v="0"/>
    <n v="0"/>
    <n v="0"/>
    <n v="0"/>
    <n v="0"/>
    <n v="0"/>
    <n v="0"/>
    <n v="0"/>
    <n v="0"/>
    <n v="0"/>
    <x v="1"/>
  </r>
  <r>
    <x v="4"/>
    <x v="42"/>
    <s v="Central level"/>
    <s v="North Western"/>
    <n v="0"/>
    <n v="0"/>
    <n v="0"/>
    <n v="0"/>
    <n v="0"/>
    <n v="0"/>
    <n v="0"/>
    <n v="0"/>
    <n v="0"/>
    <n v="0"/>
    <n v="0"/>
    <n v="0"/>
    <n v="0"/>
    <n v="0"/>
    <n v="0"/>
    <n v="0"/>
    <n v="0"/>
    <n v="0"/>
    <n v="0"/>
    <n v="0"/>
    <n v="0"/>
    <x v="1"/>
  </r>
  <r>
    <x v="4"/>
    <x v="42"/>
    <s v="Central level"/>
    <s v="Southern"/>
    <n v="0"/>
    <n v="0"/>
    <n v="0"/>
    <n v="0"/>
    <n v="0"/>
    <n v="0"/>
    <n v="0"/>
    <n v="0"/>
    <n v="0"/>
    <n v="0"/>
    <n v="0"/>
    <n v="0"/>
    <n v="0"/>
    <n v="0"/>
    <n v="0"/>
    <n v="0"/>
    <n v="0"/>
    <n v="0"/>
    <n v="0"/>
    <n v="0"/>
    <n v="0"/>
    <x v="1"/>
  </r>
  <r>
    <x v="4"/>
    <x v="42"/>
    <s v="Central level"/>
    <s v="Western"/>
    <n v="0"/>
    <n v="0"/>
    <n v="0"/>
    <n v="0"/>
    <n v="0"/>
    <n v="0"/>
    <n v="0"/>
    <n v="0"/>
    <n v="0"/>
    <n v="0"/>
    <n v="0"/>
    <n v="0"/>
    <n v="0"/>
    <n v="0"/>
    <n v="0"/>
    <n v="0"/>
    <n v="0"/>
    <n v="0"/>
    <n v="0"/>
    <n v="0"/>
    <n v="0"/>
    <x v="1"/>
  </r>
  <r>
    <x v="4"/>
    <x v="42"/>
    <s v="Central level"/>
    <n v="0"/>
    <n v="0"/>
    <n v="0"/>
    <n v="0"/>
    <n v="0"/>
    <n v="0"/>
    <n v="0"/>
    <n v="0"/>
    <n v="0"/>
    <n v="0"/>
    <n v="0"/>
    <n v="0"/>
    <n v="0"/>
    <n v="0"/>
    <n v="0"/>
    <n v="0"/>
    <n v="0"/>
    <n v="0"/>
    <n v="0"/>
    <n v="0"/>
    <n v="0"/>
    <n v="0"/>
    <x v="1"/>
  </r>
  <r>
    <x v="4"/>
    <x v="42"/>
    <s v="Central level"/>
    <n v="0"/>
    <n v="0"/>
    <n v="0"/>
    <n v="0"/>
    <n v="0"/>
    <n v="0"/>
    <n v="0"/>
    <n v="0"/>
    <n v="0"/>
    <n v="0"/>
    <n v="0"/>
    <n v="0"/>
    <n v="0"/>
    <n v="0"/>
    <n v="0"/>
    <n v="0"/>
    <n v="0"/>
    <n v="0"/>
    <n v="0"/>
    <n v="0"/>
    <n v="0"/>
    <n v="0"/>
    <x v="1"/>
  </r>
  <r>
    <x v="4"/>
    <x v="42"/>
    <s v="Central level"/>
    <n v="0"/>
    <n v="0"/>
    <n v="0"/>
    <n v="0"/>
    <n v="0"/>
    <n v="0"/>
    <n v="0"/>
    <n v="0"/>
    <n v="0"/>
    <n v="0"/>
    <n v="0"/>
    <n v="0"/>
    <n v="0"/>
    <n v="0"/>
    <n v="0"/>
    <n v="0"/>
    <n v="0"/>
    <n v="0"/>
    <n v="0"/>
    <n v="0"/>
    <n v="0"/>
    <n v="0"/>
    <x v="1"/>
  </r>
  <r>
    <x v="4"/>
    <x v="42"/>
    <s v="Central level"/>
    <n v="0"/>
    <n v="0"/>
    <n v="0"/>
    <n v="0"/>
    <n v="0"/>
    <n v="0"/>
    <n v="0"/>
    <n v="0"/>
    <n v="0"/>
    <n v="0"/>
    <n v="0"/>
    <n v="0"/>
    <n v="0"/>
    <n v="0"/>
    <n v="0"/>
    <n v="0"/>
    <n v="0"/>
    <n v="0"/>
    <n v="0"/>
    <n v="0"/>
    <n v="0"/>
    <n v="0"/>
    <x v="1"/>
  </r>
  <r>
    <x v="4"/>
    <x v="42"/>
    <s v="Central level"/>
    <n v="0"/>
    <n v="0"/>
    <n v="0"/>
    <n v="0"/>
    <n v="0"/>
    <n v="0"/>
    <n v="0"/>
    <n v="0"/>
    <n v="0"/>
    <n v="0"/>
    <n v="0"/>
    <n v="0"/>
    <n v="0"/>
    <n v="0"/>
    <n v="0"/>
    <n v="0"/>
    <n v="0"/>
    <n v="0"/>
    <n v="0"/>
    <n v="0"/>
    <n v="0"/>
    <n v="0"/>
    <x v="1"/>
  </r>
  <r>
    <x v="4"/>
    <x v="42"/>
    <s v="Central level"/>
    <s v="National-level"/>
    <n v="0"/>
    <n v="28677.576000000001"/>
    <n v="0"/>
    <n v="0"/>
    <n v="0"/>
    <n v="0"/>
    <n v="0"/>
    <n v="0"/>
    <n v="0"/>
    <n v="0"/>
    <n v="28677.576000000001"/>
    <n v="0"/>
    <n v="28677.576000000001"/>
    <n v="0"/>
    <n v="0"/>
    <n v="0"/>
    <n v="0"/>
    <n v="0"/>
    <n v="0"/>
    <n v="0"/>
    <n v="0"/>
    <x v="1"/>
  </r>
  <r>
    <x v="4"/>
    <x v="43"/>
    <n v="0"/>
    <s v="Central"/>
    <e v="#N/A"/>
    <e v="#N/A"/>
    <e v="#N/A"/>
    <e v="#N/A"/>
    <e v="#N/A"/>
    <e v="#N/A"/>
    <e v="#N/A"/>
    <e v="#N/A"/>
    <e v="#N/A"/>
    <e v="#N/A"/>
    <n v="0"/>
    <n v="0"/>
    <n v="0"/>
    <n v="0"/>
    <n v="0"/>
    <n v="0"/>
    <n v="0"/>
    <n v="0"/>
    <n v="0"/>
    <n v="0"/>
    <n v="0"/>
    <x v="1"/>
  </r>
  <r>
    <x v="4"/>
    <x v="43"/>
    <n v="0"/>
    <s v="Copperbelt"/>
    <e v="#N/A"/>
    <e v="#N/A"/>
    <e v="#N/A"/>
    <e v="#N/A"/>
    <e v="#N/A"/>
    <e v="#N/A"/>
    <e v="#N/A"/>
    <e v="#N/A"/>
    <e v="#N/A"/>
    <e v="#N/A"/>
    <n v="0"/>
    <n v="0"/>
    <n v="0"/>
    <n v="0"/>
    <n v="0"/>
    <n v="0"/>
    <n v="0"/>
    <n v="0"/>
    <n v="0"/>
    <n v="0"/>
    <n v="0"/>
    <x v="1"/>
  </r>
  <r>
    <x v="4"/>
    <x v="43"/>
    <n v="0"/>
    <s v="Eastern"/>
    <e v="#N/A"/>
    <e v="#N/A"/>
    <e v="#N/A"/>
    <e v="#N/A"/>
    <e v="#N/A"/>
    <e v="#N/A"/>
    <e v="#N/A"/>
    <e v="#N/A"/>
    <e v="#N/A"/>
    <e v="#N/A"/>
    <n v="0"/>
    <n v="0"/>
    <n v="0"/>
    <n v="0"/>
    <n v="0"/>
    <n v="0"/>
    <n v="0"/>
    <n v="0"/>
    <n v="0"/>
    <n v="0"/>
    <n v="0"/>
    <x v="1"/>
  </r>
  <r>
    <x v="4"/>
    <x v="43"/>
    <n v="0"/>
    <s v="Luapula"/>
    <e v="#N/A"/>
    <e v="#N/A"/>
    <e v="#N/A"/>
    <e v="#N/A"/>
    <e v="#N/A"/>
    <e v="#N/A"/>
    <e v="#N/A"/>
    <e v="#N/A"/>
    <e v="#N/A"/>
    <e v="#N/A"/>
    <n v="0"/>
    <n v="0"/>
    <n v="0"/>
    <n v="0"/>
    <n v="0"/>
    <n v="0"/>
    <n v="0"/>
    <n v="0"/>
    <n v="0"/>
    <n v="0"/>
    <n v="0"/>
    <x v="1"/>
  </r>
  <r>
    <x v="4"/>
    <x v="43"/>
    <n v="0"/>
    <s v="Lusaka"/>
    <e v="#N/A"/>
    <e v="#N/A"/>
    <e v="#N/A"/>
    <e v="#N/A"/>
    <e v="#N/A"/>
    <e v="#N/A"/>
    <e v="#N/A"/>
    <e v="#N/A"/>
    <e v="#N/A"/>
    <e v="#N/A"/>
    <n v="0"/>
    <n v="0"/>
    <n v="0"/>
    <n v="0"/>
    <n v="0"/>
    <n v="0"/>
    <n v="0"/>
    <n v="0"/>
    <n v="0"/>
    <n v="0"/>
    <n v="0"/>
    <x v="1"/>
  </r>
  <r>
    <x v="4"/>
    <x v="43"/>
    <n v="0"/>
    <s v="Muchinga"/>
    <e v="#N/A"/>
    <e v="#N/A"/>
    <e v="#N/A"/>
    <e v="#N/A"/>
    <e v="#N/A"/>
    <e v="#N/A"/>
    <e v="#N/A"/>
    <e v="#N/A"/>
    <e v="#N/A"/>
    <e v="#N/A"/>
    <n v="0"/>
    <n v="0"/>
    <n v="0"/>
    <n v="0"/>
    <n v="0"/>
    <n v="0"/>
    <n v="0"/>
    <n v="0"/>
    <n v="0"/>
    <n v="0"/>
    <n v="0"/>
    <x v="1"/>
  </r>
  <r>
    <x v="4"/>
    <x v="43"/>
    <n v="0"/>
    <s v="Northern"/>
    <e v="#N/A"/>
    <e v="#N/A"/>
    <e v="#N/A"/>
    <e v="#N/A"/>
    <e v="#N/A"/>
    <e v="#N/A"/>
    <e v="#N/A"/>
    <e v="#N/A"/>
    <e v="#N/A"/>
    <e v="#N/A"/>
    <n v="0"/>
    <n v="0"/>
    <n v="0"/>
    <n v="0"/>
    <n v="0"/>
    <n v="0"/>
    <n v="0"/>
    <n v="0"/>
    <n v="0"/>
    <n v="0"/>
    <n v="0"/>
    <x v="1"/>
  </r>
  <r>
    <x v="4"/>
    <x v="43"/>
    <n v="0"/>
    <s v="North Western"/>
    <e v="#N/A"/>
    <e v="#N/A"/>
    <e v="#N/A"/>
    <e v="#N/A"/>
    <e v="#N/A"/>
    <e v="#N/A"/>
    <e v="#N/A"/>
    <e v="#N/A"/>
    <e v="#N/A"/>
    <e v="#N/A"/>
    <n v="0"/>
    <n v="0"/>
    <n v="0"/>
    <n v="0"/>
    <n v="0"/>
    <n v="0"/>
    <n v="0"/>
    <n v="0"/>
    <n v="0"/>
    <n v="0"/>
    <n v="0"/>
    <x v="1"/>
  </r>
  <r>
    <x v="4"/>
    <x v="43"/>
    <n v="0"/>
    <s v="Southern"/>
    <e v="#N/A"/>
    <e v="#N/A"/>
    <e v="#N/A"/>
    <e v="#N/A"/>
    <e v="#N/A"/>
    <e v="#N/A"/>
    <e v="#N/A"/>
    <e v="#N/A"/>
    <e v="#N/A"/>
    <e v="#N/A"/>
    <n v="0"/>
    <n v="0"/>
    <n v="0"/>
    <n v="0"/>
    <n v="0"/>
    <n v="0"/>
    <n v="0"/>
    <n v="0"/>
    <n v="0"/>
    <n v="0"/>
    <n v="0"/>
    <x v="1"/>
  </r>
  <r>
    <x v="4"/>
    <x v="43"/>
    <n v="0"/>
    <s v="Western"/>
    <e v="#N/A"/>
    <e v="#N/A"/>
    <e v="#N/A"/>
    <e v="#N/A"/>
    <e v="#N/A"/>
    <e v="#N/A"/>
    <e v="#N/A"/>
    <e v="#N/A"/>
    <e v="#N/A"/>
    <e v="#N/A"/>
    <n v="0"/>
    <n v="0"/>
    <n v="0"/>
    <n v="0"/>
    <n v="0"/>
    <n v="0"/>
    <n v="0"/>
    <n v="0"/>
    <n v="0"/>
    <n v="0"/>
    <n v="0"/>
    <x v="1"/>
  </r>
  <r>
    <x v="4"/>
    <x v="43"/>
    <n v="0"/>
    <n v="0"/>
    <e v="#N/A"/>
    <e v="#N/A"/>
    <e v="#N/A"/>
    <e v="#N/A"/>
    <e v="#N/A"/>
    <e v="#N/A"/>
    <e v="#N/A"/>
    <e v="#N/A"/>
    <e v="#N/A"/>
    <e v="#N/A"/>
    <n v="0"/>
    <n v="0"/>
    <n v="0"/>
    <n v="0"/>
    <n v="0"/>
    <n v="0"/>
    <n v="0"/>
    <n v="0"/>
    <n v="0"/>
    <n v="0"/>
    <n v="0"/>
    <x v="1"/>
  </r>
  <r>
    <x v="4"/>
    <x v="43"/>
    <n v="0"/>
    <n v="0"/>
    <e v="#N/A"/>
    <e v="#N/A"/>
    <e v="#N/A"/>
    <e v="#N/A"/>
    <e v="#N/A"/>
    <e v="#N/A"/>
    <e v="#N/A"/>
    <e v="#N/A"/>
    <e v="#N/A"/>
    <e v="#N/A"/>
    <n v="0"/>
    <n v="0"/>
    <n v="0"/>
    <n v="0"/>
    <n v="0"/>
    <n v="0"/>
    <n v="0"/>
    <n v="0"/>
    <n v="0"/>
    <n v="0"/>
    <n v="0"/>
    <x v="1"/>
  </r>
  <r>
    <x v="4"/>
    <x v="43"/>
    <n v="0"/>
    <n v="0"/>
    <e v="#N/A"/>
    <e v="#N/A"/>
    <e v="#N/A"/>
    <e v="#N/A"/>
    <e v="#N/A"/>
    <e v="#N/A"/>
    <e v="#N/A"/>
    <e v="#N/A"/>
    <e v="#N/A"/>
    <e v="#N/A"/>
    <n v="0"/>
    <n v="0"/>
    <n v="0"/>
    <n v="0"/>
    <n v="0"/>
    <n v="0"/>
    <n v="0"/>
    <n v="0"/>
    <n v="0"/>
    <n v="0"/>
    <n v="0"/>
    <x v="1"/>
  </r>
  <r>
    <x v="4"/>
    <x v="43"/>
    <n v="0"/>
    <n v="0"/>
    <e v="#N/A"/>
    <e v="#N/A"/>
    <e v="#N/A"/>
    <e v="#N/A"/>
    <e v="#N/A"/>
    <e v="#N/A"/>
    <e v="#N/A"/>
    <e v="#N/A"/>
    <e v="#N/A"/>
    <e v="#N/A"/>
    <n v="0"/>
    <n v="0"/>
    <n v="0"/>
    <n v="0"/>
    <n v="0"/>
    <n v="0"/>
    <n v="0"/>
    <n v="0"/>
    <n v="0"/>
    <n v="0"/>
    <n v="0"/>
    <x v="1"/>
  </r>
  <r>
    <x v="4"/>
    <x v="43"/>
    <n v="0"/>
    <n v="0"/>
    <e v="#N/A"/>
    <e v="#N/A"/>
    <e v="#N/A"/>
    <e v="#N/A"/>
    <e v="#N/A"/>
    <e v="#N/A"/>
    <e v="#N/A"/>
    <e v="#N/A"/>
    <e v="#N/A"/>
    <e v="#N/A"/>
    <n v="0"/>
    <n v="0"/>
    <n v="0"/>
    <n v="0"/>
    <n v="0"/>
    <n v="0"/>
    <n v="0"/>
    <n v="0"/>
    <n v="0"/>
    <n v="0"/>
    <n v="0"/>
    <x v="1"/>
  </r>
  <r>
    <x v="4"/>
    <x v="43"/>
    <n v="0"/>
    <s v="National-level"/>
    <e v="#N/A"/>
    <e v="#N/A"/>
    <e v="#N/A"/>
    <e v="#N/A"/>
    <e v="#N/A"/>
    <e v="#N/A"/>
    <e v="#N/A"/>
    <e v="#N/A"/>
    <e v="#N/A"/>
    <e v="#N/A"/>
    <n v="0"/>
    <n v="0"/>
    <n v="0"/>
    <n v="0"/>
    <n v="0"/>
    <n v="0"/>
    <n v="0"/>
    <n v="0"/>
    <n v="0"/>
    <n v="0"/>
    <n v="0"/>
    <x v="1"/>
  </r>
  <r>
    <x v="4"/>
    <x v="44"/>
    <n v="0"/>
    <s v="Central"/>
    <e v="#N/A"/>
    <e v="#N/A"/>
    <e v="#N/A"/>
    <e v="#N/A"/>
    <e v="#N/A"/>
    <e v="#N/A"/>
    <e v="#N/A"/>
    <e v="#N/A"/>
    <e v="#N/A"/>
    <e v="#N/A"/>
    <n v="0"/>
    <n v="0"/>
    <n v="0"/>
    <n v="0"/>
    <n v="0"/>
    <n v="0"/>
    <n v="0"/>
    <n v="0"/>
    <n v="0"/>
    <n v="0"/>
    <n v="0"/>
    <x v="1"/>
  </r>
  <r>
    <x v="4"/>
    <x v="44"/>
    <n v="0"/>
    <s v="Copperbelt"/>
    <e v="#N/A"/>
    <e v="#N/A"/>
    <e v="#N/A"/>
    <e v="#N/A"/>
    <e v="#N/A"/>
    <e v="#N/A"/>
    <e v="#N/A"/>
    <e v="#N/A"/>
    <e v="#N/A"/>
    <e v="#N/A"/>
    <n v="0"/>
    <n v="0"/>
    <n v="0"/>
    <n v="0"/>
    <n v="0"/>
    <n v="0"/>
    <n v="0"/>
    <n v="0"/>
    <n v="0"/>
    <n v="0"/>
    <n v="0"/>
    <x v="1"/>
  </r>
  <r>
    <x v="4"/>
    <x v="44"/>
    <n v="0"/>
    <s v="Eastern"/>
    <e v="#N/A"/>
    <e v="#N/A"/>
    <e v="#N/A"/>
    <e v="#N/A"/>
    <e v="#N/A"/>
    <e v="#N/A"/>
    <e v="#N/A"/>
    <e v="#N/A"/>
    <e v="#N/A"/>
    <e v="#N/A"/>
    <n v="0"/>
    <n v="0"/>
    <n v="0"/>
    <n v="0"/>
    <n v="0"/>
    <n v="0"/>
    <n v="0"/>
    <n v="0"/>
    <n v="0"/>
    <n v="0"/>
    <n v="0"/>
    <x v="1"/>
  </r>
  <r>
    <x v="4"/>
    <x v="44"/>
    <n v="0"/>
    <s v="Luapula"/>
    <e v="#N/A"/>
    <e v="#N/A"/>
    <e v="#N/A"/>
    <e v="#N/A"/>
    <e v="#N/A"/>
    <e v="#N/A"/>
    <e v="#N/A"/>
    <e v="#N/A"/>
    <e v="#N/A"/>
    <e v="#N/A"/>
    <n v="0"/>
    <n v="0"/>
    <n v="0"/>
    <n v="0"/>
    <n v="0"/>
    <n v="0"/>
    <n v="0"/>
    <n v="0"/>
    <n v="0"/>
    <n v="0"/>
    <n v="0"/>
    <x v="1"/>
  </r>
  <r>
    <x v="4"/>
    <x v="44"/>
    <n v="0"/>
    <s v="Lusaka"/>
    <e v="#N/A"/>
    <e v="#N/A"/>
    <e v="#N/A"/>
    <e v="#N/A"/>
    <e v="#N/A"/>
    <e v="#N/A"/>
    <e v="#N/A"/>
    <e v="#N/A"/>
    <e v="#N/A"/>
    <e v="#N/A"/>
    <n v="0"/>
    <n v="0"/>
    <n v="0"/>
    <n v="0"/>
    <n v="0"/>
    <n v="0"/>
    <n v="0"/>
    <n v="0"/>
    <n v="0"/>
    <n v="0"/>
    <n v="0"/>
    <x v="1"/>
  </r>
  <r>
    <x v="4"/>
    <x v="44"/>
    <n v="0"/>
    <s v="Muchinga"/>
    <e v="#N/A"/>
    <e v="#N/A"/>
    <e v="#N/A"/>
    <e v="#N/A"/>
    <e v="#N/A"/>
    <e v="#N/A"/>
    <e v="#N/A"/>
    <e v="#N/A"/>
    <e v="#N/A"/>
    <e v="#N/A"/>
    <n v="0"/>
    <n v="0"/>
    <n v="0"/>
    <n v="0"/>
    <n v="0"/>
    <n v="0"/>
    <n v="0"/>
    <n v="0"/>
    <n v="0"/>
    <n v="0"/>
    <n v="0"/>
    <x v="1"/>
  </r>
  <r>
    <x v="4"/>
    <x v="44"/>
    <n v="0"/>
    <s v="Northern"/>
    <e v="#N/A"/>
    <e v="#N/A"/>
    <e v="#N/A"/>
    <e v="#N/A"/>
    <e v="#N/A"/>
    <e v="#N/A"/>
    <e v="#N/A"/>
    <e v="#N/A"/>
    <e v="#N/A"/>
    <e v="#N/A"/>
    <n v="0"/>
    <n v="0"/>
    <n v="0"/>
    <n v="0"/>
    <n v="0"/>
    <n v="0"/>
    <n v="0"/>
    <n v="0"/>
    <n v="0"/>
    <n v="0"/>
    <n v="0"/>
    <x v="1"/>
  </r>
  <r>
    <x v="4"/>
    <x v="44"/>
    <n v="0"/>
    <s v="North Western"/>
    <e v="#N/A"/>
    <e v="#N/A"/>
    <e v="#N/A"/>
    <e v="#N/A"/>
    <e v="#N/A"/>
    <e v="#N/A"/>
    <e v="#N/A"/>
    <e v="#N/A"/>
    <e v="#N/A"/>
    <e v="#N/A"/>
    <n v="0"/>
    <n v="0"/>
    <n v="0"/>
    <n v="0"/>
    <n v="0"/>
    <n v="0"/>
    <n v="0"/>
    <n v="0"/>
    <n v="0"/>
    <n v="0"/>
    <n v="0"/>
    <x v="1"/>
  </r>
  <r>
    <x v="4"/>
    <x v="44"/>
    <n v="0"/>
    <s v="Southern"/>
    <e v="#N/A"/>
    <e v="#N/A"/>
    <e v="#N/A"/>
    <e v="#N/A"/>
    <e v="#N/A"/>
    <e v="#N/A"/>
    <e v="#N/A"/>
    <e v="#N/A"/>
    <e v="#N/A"/>
    <e v="#N/A"/>
    <n v="0"/>
    <n v="0"/>
    <n v="0"/>
    <n v="0"/>
    <n v="0"/>
    <n v="0"/>
    <n v="0"/>
    <n v="0"/>
    <n v="0"/>
    <n v="0"/>
    <n v="0"/>
    <x v="1"/>
  </r>
  <r>
    <x v="4"/>
    <x v="44"/>
    <n v="0"/>
    <s v="Western"/>
    <e v="#N/A"/>
    <e v="#N/A"/>
    <e v="#N/A"/>
    <e v="#N/A"/>
    <e v="#N/A"/>
    <e v="#N/A"/>
    <e v="#N/A"/>
    <e v="#N/A"/>
    <e v="#N/A"/>
    <e v="#N/A"/>
    <n v="0"/>
    <n v="0"/>
    <n v="0"/>
    <n v="0"/>
    <n v="0"/>
    <n v="0"/>
    <n v="0"/>
    <n v="0"/>
    <n v="0"/>
    <n v="0"/>
    <n v="0"/>
    <x v="1"/>
  </r>
  <r>
    <x v="4"/>
    <x v="44"/>
    <n v="0"/>
    <n v="0"/>
    <e v="#N/A"/>
    <e v="#N/A"/>
    <e v="#N/A"/>
    <e v="#N/A"/>
    <e v="#N/A"/>
    <e v="#N/A"/>
    <e v="#N/A"/>
    <e v="#N/A"/>
    <e v="#N/A"/>
    <e v="#N/A"/>
    <n v="0"/>
    <n v="0"/>
    <n v="0"/>
    <n v="0"/>
    <n v="0"/>
    <n v="0"/>
    <n v="0"/>
    <n v="0"/>
    <n v="0"/>
    <n v="0"/>
    <n v="0"/>
    <x v="1"/>
  </r>
  <r>
    <x v="4"/>
    <x v="44"/>
    <n v="0"/>
    <n v="0"/>
    <e v="#N/A"/>
    <e v="#N/A"/>
    <e v="#N/A"/>
    <e v="#N/A"/>
    <e v="#N/A"/>
    <e v="#N/A"/>
    <e v="#N/A"/>
    <e v="#N/A"/>
    <e v="#N/A"/>
    <e v="#N/A"/>
    <n v="0"/>
    <n v="0"/>
    <n v="0"/>
    <n v="0"/>
    <n v="0"/>
    <n v="0"/>
    <n v="0"/>
    <n v="0"/>
    <n v="0"/>
    <n v="0"/>
    <n v="0"/>
    <x v="1"/>
  </r>
  <r>
    <x v="4"/>
    <x v="44"/>
    <n v="0"/>
    <n v="0"/>
    <e v="#N/A"/>
    <e v="#N/A"/>
    <e v="#N/A"/>
    <e v="#N/A"/>
    <e v="#N/A"/>
    <e v="#N/A"/>
    <e v="#N/A"/>
    <e v="#N/A"/>
    <e v="#N/A"/>
    <e v="#N/A"/>
    <n v="0"/>
    <n v="0"/>
    <n v="0"/>
    <n v="0"/>
    <n v="0"/>
    <n v="0"/>
    <n v="0"/>
    <n v="0"/>
    <n v="0"/>
    <n v="0"/>
    <n v="0"/>
    <x v="1"/>
  </r>
  <r>
    <x v="4"/>
    <x v="44"/>
    <n v="0"/>
    <n v="0"/>
    <e v="#N/A"/>
    <e v="#N/A"/>
    <e v="#N/A"/>
    <e v="#N/A"/>
    <e v="#N/A"/>
    <e v="#N/A"/>
    <e v="#N/A"/>
    <e v="#N/A"/>
    <e v="#N/A"/>
    <e v="#N/A"/>
    <n v="0"/>
    <n v="0"/>
    <n v="0"/>
    <n v="0"/>
    <n v="0"/>
    <n v="0"/>
    <n v="0"/>
    <n v="0"/>
    <n v="0"/>
    <n v="0"/>
    <n v="0"/>
    <x v="1"/>
  </r>
  <r>
    <x v="4"/>
    <x v="44"/>
    <n v="0"/>
    <n v="0"/>
    <e v="#N/A"/>
    <e v="#N/A"/>
    <e v="#N/A"/>
    <e v="#N/A"/>
    <e v="#N/A"/>
    <e v="#N/A"/>
    <e v="#N/A"/>
    <e v="#N/A"/>
    <e v="#N/A"/>
    <e v="#N/A"/>
    <n v="0"/>
    <n v="0"/>
    <n v="0"/>
    <n v="0"/>
    <n v="0"/>
    <n v="0"/>
    <n v="0"/>
    <n v="0"/>
    <n v="0"/>
    <n v="0"/>
    <n v="0"/>
    <x v="1"/>
  </r>
  <r>
    <x v="4"/>
    <x v="44"/>
    <n v="0"/>
    <s v="National-level"/>
    <e v="#N/A"/>
    <e v="#N/A"/>
    <e v="#N/A"/>
    <e v="#N/A"/>
    <e v="#N/A"/>
    <e v="#N/A"/>
    <e v="#N/A"/>
    <e v="#N/A"/>
    <e v="#N/A"/>
    <e v="#N/A"/>
    <n v="0"/>
    <n v="0"/>
    <n v="0"/>
    <n v="0"/>
    <n v="0"/>
    <n v="0"/>
    <n v="0"/>
    <n v="0"/>
    <n v="0"/>
    <n v="0"/>
    <n v="0"/>
    <x v="1"/>
  </r>
  <r>
    <x v="5"/>
    <x v="45"/>
    <s v="Central level"/>
    <s v="Central"/>
    <n v="0"/>
    <n v="0"/>
    <n v="0"/>
    <n v="0"/>
    <n v="0"/>
    <n v="0"/>
    <n v="0"/>
    <n v="0"/>
    <n v="0"/>
    <n v="0"/>
    <n v="0"/>
    <n v="0"/>
    <n v="0"/>
    <n v="0"/>
    <n v="0"/>
    <n v="0"/>
    <n v="0"/>
    <n v="0"/>
    <n v="0"/>
    <n v="0"/>
    <n v="0"/>
    <x v="1"/>
  </r>
  <r>
    <x v="5"/>
    <x v="45"/>
    <s v="Central level"/>
    <s v="Copperbelt"/>
    <n v="0"/>
    <n v="0"/>
    <n v="0"/>
    <n v="0"/>
    <n v="0"/>
    <n v="0"/>
    <n v="0"/>
    <n v="0"/>
    <n v="0"/>
    <n v="0"/>
    <n v="0"/>
    <n v="0"/>
    <n v="0"/>
    <n v="0"/>
    <n v="0"/>
    <n v="0"/>
    <n v="0"/>
    <n v="0"/>
    <n v="0"/>
    <n v="0"/>
    <n v="0"/>
    <x v="1"/>
  </r>
  <r>
    <x v="5"/>
    <x v="45"/>
    <s v="Central level"/>
    <s v="Eastern"/>
    <n v="0"/>
    <n v="0"/>
    <n v="0"/>
    <n v="0"/>
    <n v="0"/>
    <n v="0"/>
    <n v="0"/>
    <n v="0"/>
    <n v="0"/>
    <n v="0"/>
    <n v="0"/>
    <n v="0"/>
    <n v="0"/>
    <n v="0"/>
    <n v="0"/>
    <n v="0"/>
    <n v="0"/>
    <n v="0"/>
    <n v="0"/>
    <n v="0"/>
    <n v="0"/>
    <x v="1"/>
  </r>
  <r>
    <x v="5"/>
    <x v="45"/>
    <s v="Central level"/>
    <s v="Luapula"/>
    <n v="0"/>
    <n v="0"/>
    <n v="0"/>
    <n v="0"/>
    <n v="0"/>
    <n v="0"/>
    <n v="0"/>
    <n v="0"/>
    <n v="0"/>
    <n v="0"/>
    <n v="0"/>
    <n v="0"/>
    <n v="0"/>
    <n v="0"/>
    <n v="0"/>
    <n v="0"/>
    <n v="0"/>
    <n v="0"/>
    <n v="0"/>
    <n v="0"/>
    <n v="0"/>
    <x v="1"/>
  </r>
  <r>
    <x v="5"/>
    <x v="45"/>
    <s v="Central level"/>
    <s v="Lusaka"/>
    <n v="0"/>
    <n v="0"/>
    <n v="0"/>
    <n v="0"/>
    <n v="0"/>
    <n v="0"/>
    <n v="0"/>
    <n v="0"/>
    <n v="0"/>
    <n v="0"/>
    <n v="0"/>
    <n v="0"/>
    <n v="0"/>
    <n v="0"/>
    <n v="0"/>
    <n v="0"/>
    <n v="0"/>
    <n v="0"/>
    <n v="0"/>
    <n v="0"/>
    <n v="0"/>
    <x v="1"/>
  </r>
  <r>
    <x v="5"/>
    <x v="45"/>
    <s v="Central level"/>
    <s v="Muchinga"/>
    <n v="0"/>
    <n v="0"/>
    <n v="0"/>
    <n v="0"/>
    <n v="0"/>
    <n v="0"/>
    <n v="0"/>
    <n v="0"/>
    <n v="0"/>
    <n v="0"/>
    <n v="0"/>
    <n v="0"/>
    <n v="0"/>
    <n v="0"/>
    <n v="0"/>
    <n v="0"/>
    <n v="0"/>
    <n v="0"/>
    <n v="0"/>
    <n v="0"/>
    <n v="0"/>
    <x v="1"/>
  </r>
  <r>
    <x v="5"/>
    <x v="45"/>
    <s v="Central level"/>
    <s v="Northern"/>
    <n v="0"/>
    <n v="0"/>
    <n v="0"/>
    <n v="0"/>
    <n v="0"/>
    <n v="0"/>
    <n v="0"/>
    <n v="0"/>
    <n v="0"/>
    <n v="0"/>
    <n v="0"/>
    <n v="0"/>
    <n v="0"/>
    <n v="0"/>
    <n v="0"/>
    <n v="0"/>
    <n v="0"/>
    <n v="0"/>
    <n v="0"/>
    <n v="0"/>
    <n v="0"/>
    <x v="1"/>
  </r>
  <r>
    <x v="5"/>
    <x v="45"/>
    <s v="Central level"/>
    <s v="North Western"/>
    <n v="0"/>
    <n v="0"/>
    <n v="0"/>
    <n v="0"/>
    <n v="0"/>
    <n v="0"/>
    <n v="0"/>
    <n v="0"/>
    <n v="0"/>
    <n v="0"/>
    <n v="0"/>
    <n v="0"/>
    <n v="0"/>
    <n v="0"/>
    <n v="0"/>
    <n v="0"/>
    <n v="0"/>
    <n v="0"/>
    <n v="0"/>
    <n v="0"/>
    <n v="0"/>
    <x v="1"/>
  </r>
  <r>
    <x v="5"/>
    <x v="45"/>
    <s v="Central level"/>
    <s v="Southern"/>
    <n v="0"/>
    <n v="0"/>
    <n v="0"/>
    <n v="0"/>
    <n v="0"/>
    <n v="0"/>
    <n v="0"/>
    <n v="0"/>
    <n v="0"/>
    <n v="0"/>
    <n v="0"/>
    <n v="0"/>
    <n v="0"/>
    <n v="0"/>
    <n v="0"/>
    <n v="0"/>
    <n v="0"/>
    <n v="0"/>
    <n v="0"/>
    <n v="0"/>
    <n v="0"/>
    <x v="1"/>
  </r>
  <r>
    <x v="5"/>
    <x v="45"/>
    <s v="Central level"/>
    <s v="Western"/>
    <n v="0"/>
    <n v="0"/>
    <n v="0"/>
    <n v="0"/>
    <n v="0"/>
    <n v="0"/>
    <n v="0"/>
    <n v="0"/>
    <n v="0"/>
    <n v="0"/>
    <n v="0"/>
    <n v="0"/>
    <n v="0"/>
    <n v="0"/>
    <n v="0"/>
    <n v="0"/>
    <n v="0"/>
    <n v="0"/>
    <n v="0"/>
    <n v="0"/>
    <n v="0"/>
    <x v="1"/>
  </r>
  <r>
    <x v="5"/>
    <x v="45"/>
    <s v="Central level"/>
    <n v="0"/>
    <n v="0"/>
    <n v="0"/>
    <n v="0"/>
    <n v="0"/>
    <n v="0"/>
    <n v="0"/>
    <n v="0"/>
    <n v="0"/>
    <n v="0"/>
    <n v="0"/>
    <n v="0"/>
    <n v="0"/>
    <n v="0"/>
    <n v="0"/>
    <n v="0"/>
    <n v="0"/>
    <n v="0"/>
    <n v="0"/>
    <n v="0"/>
    <n v="0"/>
    <n v="0"/>
    <x v="1"/>
  </r>
  <r>
    <x v="5"/>
    <x v="45"/>
    <s v="Central level"/>
    <n v="0"/>
    <n v="0"/>
    <n v="0"/>
    <n v="0"/>
    <n v="0"/>
    <n v="0"/>
    <n v="0"/>
    <n v="0"/>
    <n v="0"/>
    <n v="0"/>
    <n v="0"/>
    <n v="0"/>
    <n v="0"/>
    <n v="0"/>
    <n v="0"/>
    <n v="0"/>
    <n v="0"/>
    <n v="0"/>
    <n v="0"/>
    <n v="0"/>
    <n v="0"/>
    <n v="0"/>
    <x v="1"/>
  </r>
  <r>
    <x v="5"/>
    <x v="45"/>
    <s v="Central level"/>
    <n v="0"/>
    <n v="0"/>
    <n v="0"/>
    <n v="0"/>
    <n v="0"/>
    <n v="0"/>
    <n v="0"/>
    <n v="0"/>
    <n v="0"/>
    <n v="0"/>
    <n v="0"/>
    <n v="0"/>
    <n v="0"/>
    <n v="0"/>
    <n v="0"/>
    <n v="0"/>
    <n v="0"/>
    <n v="0"/>
    <n v="0"/>
    <n v="0"/>
    <n v="0"/>
    <n v="0"/>
    <x v="1"/>
  </r>
  <r>
    <x v="5"/>
    <x v="45"/>
    <s v="Central level"/>
    <n v="0"/>
    <n v="0"/>
    <n v="0"/>
    <n v="0"/>
    <n v="0"/>
    <n v="0"/>
    <n v="0"/>
    <n v="0"/>
    <n v="0"/>
    <n v="0"/>
    <n v="0"/>
    <n v="0"/>
    <n v="0"/>
    <n v="0"/>
    <n v="0"/>
    <n v="0"/>
    <n v="0"/>
    <n v="0"/>
    <n v="0"/>
    <n v="0"/>
    <n v="0"/>
    <n v="0"/>
    <x v="1"/>
  </r>
  <r>
    <x v="5"/>
    <x v="45"/>
    <s v="Central level"/>
    <n v="0"/>
    <n v="0"/>
    <n v="0"/>
    <n v="0"/>
    <n v="0"/>
    <n v="0"/>
    <n v="0"/>
    <n v="0"/>
    <n v="0"/>
    <n v="0"/>
    <n v="0"/>
    <n v="0"/>
    <n v="0"/>
    <n v="0"/>
    <n v="0"/>
    <n v="0"/>
    <n v="0"/>
    <n v="0"/>
    <n v="0"/>
    <n v="0"/>
    <n v="0"/>
    <n v="0"/>
    <x v="1"/>
  </r>
  <r>
    <x v="5"/>
    <x v="45"/>
    <s v="Central level"/>
    <s v="National-level"/>
    <n v="118201.064"/>
    <n v="0"/>
    <n v="0"/>
    <n v="0"/>
    <n v="0"/>
    <n v="118201.064"/>
    <n v="0"/>
    <n v="0"/>
    <n v="0"/>
    <n v="0"/>
    <n v="236402.128"/>
    <n v="118201.064"/>
    <n v="0"/>
    <n v="0"/>
    <n v="0"/>
    <n v="0"/>
    <n v="118201.064"/>
    <n v="0"/>
    <n v="0"/>
    <n v="0"/>
    <n v="0"/>
    <x v="1"/>
  </r>
  <r>
    <x v="5"/>
    <x v="46"/>
    <s v="Central level"/>
    <s v="Central"/>
    <n v="0"/>
    <n v="0"/>
    <n v="0"/>
    <n v="0"/>
    <n v="0"/>
    <n v="0"/>
    <n v="0"/>
    <n v="0"/>
    <n v="0"/>
    <n v="0"/>
    <n v="0"/>
    <n v="0"/>
    <n v="0"/>
    <n v="0"/>
    <n v="0"/>
    <n v="0"/>
    <n v="0"/>
    <n v="0"/>
    <n v="0"/>
    <n v="0"/>
    <n v="0"/>
    <x v="1"/>
  </r>
  <r>
    <x v="5"/>
    <x v="46"/>
    <s v="Central level"/>
    <s v="Copperbelt"/>
    <n v="0"/>
    <n v="0"/>
    <n v="0"/>
    <n v="0"/>
    <n v="0"/>
    <n v="0"/>
    <n v="0"/>
    <n v="0"/>
    <n v="0"/>
    <n v="0"/>
    <n v="0"/>
    <n v="0"/>
    <n v="0"/>
    <n v="0"/>
    <n v="0"/>
    <n v="0"/>
    <n v="0"/>
    <n v="0"/>
    <n v="0"/>
    <n v="0"/>
    <n v="0"/>
    <x v="1"/>
  </r>
  <r>
    <x v="5"/>
    <x v="46"/>
    <s v="Central level"/>
    <s v="Eastern"/>
    <n v="0"/>
    <n v="0"/>
    <n v="0"/>
    <n v="0"/>
    <n v="0"/>
    <n v="0"/>
    <n v="0"/>
    <n v="0"/>
    <n v="0"/>
    <n v="0"/>
    <n v="0"/>
    <n v="0"/>
    <n v="0"/>
    <n v="0"/>
    <n v="0"/>
    <n v="0"/>
    <n v="0"/>
    <n v="0"/>
    <n v="0"/>
    <n v="0"/>
    <n v="0"/>
    <x v="1"/>
  </r>
  <r>
    <x v="5"/>
    <x v="46"/>
    <s v="Central level"/>
    <s v="Luapula"/>
    <n v="0"/>
    <n v="0"/>
    <n v="0"/>
    <n v="0"/>
    <n v="0"/>
    <n v="0"/>
    <n v="0"/>
    <n v="0"/>
    <n v="0"/>
    <n v="0"/>
    <n v="0"/>
    <n v="0"/>
    <n v="0"/>
    <n v="0"/>
    <n v="0"/>
    <n v="0"/>
    <n v="0"/>
    <n v="0"/>
    <n v="0"/>
    <n v="0"/>
    <n v="0"/>
    <x v="1"/>
  </r>
  <r>
    <x v="5"/>
    <x v="46"/>
    <s v="Central level"/>
    <s v="Lusaka"/>
    <n v="0"/>
    <n v="0"/>
    <n v="0"/>
    <n v="0"/>
    <n v="0"/>
    <n v="0"/>
    <n v="0"/>
    <n v="0"/>
    <n v="0"/>
    <n v="0"/>
    <n v="0"/>
    <n v="0"/>
    <n v="0"/>
    <n v="0"/>
    <n v="0"/>
    <n v="0"/>
    <n v="0"/>
    <n v="0"/>
    <n v="0"/>
    <n v="0"/>
    <n v="0"/>
    <x v="1"/>
  </r>
  <r>
    <x v="5"/>
    <x v="46"/>
    <s v="Central level"/>
    <s v="Muchinga"/>
    <n v="0"/>
    <n v="0"/>
    <n v="0"/>
    <n v="0"/>
    <n v="0"/>
    <n v="0"/>
    <n v="0"/>
    <n v="0"/>
    <n v="0"/>
    <n v="0"/>
    <n v="0"/>
    <n v="0"/>
    <n v="0"/>
    <n v="0"/>
    <n v="0"/>
    <n v="0"/>
    <n v="0"/>
    <n v="0"/>
    <n v="0"/>
    <n v="0"/>
    <n v="0"/>
    <x v="1"/>
  </r>
  <r>
    <x v="5"/>
    <x v="46"/>
    <s v="Central level"/>
    <s v="Northern"/>
    <n v="0"/>
    <n v="0"/>
    <n v="0"/>
    <n v="0"/>
    <n v="0"/>
    <n v="0"/>
    <n v="0"/>
    <n v="0"/>
    <n v="0"/>
    <n v="0"/>
    <n v="0"/>
    <n v="0"/>
    <n v="0"/>
    <n v="0"/>
    <n v="0"/>
    <n v="0"/>
    <n v="0"/>
    <n v="0"/>
    <n v="0"/>
    <n v="0"/>
    <n v="0"/>
    <x v="1"/>
  </r>
  <r>
    <x v="5"/>
    <x v="46"/>
    <s v="Central level"/>
    <s v="North Western"/>
    <n v="0"/>
    <n v="0"/>
    <n v="0"/>
    <n v="0"/>
    <n v="0"/>
    <n v="0"/>
    <n v="0"/>
    <n v="0"/>
    <n v="0"/>
    <n v="0"/>
    <n v="0"/>
    <n v="0"/>
    <n v="0"/>
    <n v="0"/>
    <n v="0"/>
    <n v="0"/>
    <n v="0"/>
    <n v="0"/>
    <n v="0"/>
    <n v="0"/>
    <n v="0"/>
    <x v="1"/>
  </r>
  <r>
    <x v="5"/>
    <x v="46"/>
    <s v="Central level"/>
    <s v="Southern"/>
    <n v="0"/>
    <n v="0"/>
    <n v="0"/>
    <n v="0"/>
    <n v="0"/>
    <n v="0"/>
    <n v="0"/>
    <n v="0"/>
    <n v="0"/>
    <n v="0"/>
    <n v="0"/>
    <n v="0"/>
    <n v="0"/>
    <n v="0"/>
    <n v="0"/>
    <n v="0"/>
    <n v="0"/>
    <n v="0"/>
    <n v="0"/>
    <n v="0"/>
    <n v="0"/>
    <x v="1"/>
  </r>
  <r>
    <x v="5"/>
    <x v="46"/>
    <s v="Central level"/>
    <s v="Western"/>
    <n v="0"/>
    <n v="0"/>
    <n v="0"/>
    <n v="0"/>
    <n v="0"/>
    <n v="0"/>
    <n v="0"/>
    <n v="0"/>
    <n v="0"/>
    <n v="0"/>
    <n v="0"/>
    <n v="0"/>
    <n v="0"/>
    <n v="0"/>
    <n v="0"/>
    <n v="0"/>
    <n v="0"/>
    <n v="0"/>
    <n v="0"/>
    <n v="0"/>
    <n v="0"/>
    <x v="1"/>
  </r>
  <r>
    <x v="5"/>
    <x v="46"/>
    <s v="Central level"/>
    <n v="0"/>
    <n v="0"/>
    <n v="0"/>
    <n v="0"/>
    <n v="0"/>
    <n v="0"/>
    <n v="0"/>
    <n v="0"/>
    <n v="0"/>
    <n v="0"/>
    <n v="0"/>
    <n v="0"/>
    <n v="0"/>
    <n v="0"/>
    <n v="0"/>
    <n v="0"/>
    <n v="0"/>
    <n v="0"/>
    <n v="0"/>
    <n v="0"/>
    <n v="0"/>
    <n v="0"/>
    <x v="1"/>
  </r>
  <r>
    <x v="5"/>
    <x v="46"/>
    <s v="Central level"/>
    <n v="0"/>
    <n v="0"/>
    <n v="0"/>
    <n v="0"/>
    <n v="0"/>
    <n v="0"/>
    <n v="0"/>
    <n v="0"/>
    <n v="0"/>
    <n v="0"/>
    <n v="0"/>
    <n v="0"/>
    <n v="0"/>
    <n v="0"/>
    <n v="0"/>
    <n v="0"/>
    <n v="0"/>
    <n v="0"/>
    <n v="0"/>
    <n v="0"/>
    <n v="0"/>
    <n v="0"/>
    <x v="1"/>
  </r>
  <r>
    <x v="5"/>
    <x v="46"/>
    <s v="Central level"/>
    <n v="0"/>
    <n v="0"/>
    <n v="0"/>
    <n v="0"/>
    <n v="0"/>
    <n v="0"/>
    <n v="0"/>
    <n v="0"/>
    <n v="0"/>
    <n v="0"/>
    <n v="0"/>
    <n v="0"/>
    <n v="0"/>
    <n v="0"/>
    <n v="0"/>
    <n v="0"/>
    <n v="0"/>
    <n v="0"/>
    <n v="0"/>
    <n v="0"/>
    <n v="0"/>
    <n v="0"/>
    <x v="1"/>
  </r>
  <r>
    <x v="5"/>
    <x v="46"/>
    <s v="Central level"/>
    <n v="0"/>
    <n v="0"/>
    <n v="0"/>
    <n v="0"/>
    <n v="0"/>
    <n v="0"/>
    <n v="0"/>
    <n v="0"/>
    <n v="0"/>
    <n v="0"/>
    <n v="0"/>
    <n v="0"/>
    <n v="0"/>
    <n v="0"/>
    <n v="0"/>
    <n v="0"/>
    <n v="0"/>
    <n v="0"/>
    <n v="0"/>
    <n v="0"/>
    <n v="0"/>
    <n v="0"/>
    <x v="1"/>
  </r>
  <r>
    <x v="5"/>
    <x v="46"/>
    <s v="Central level"/>
    <n v="0"/>
    <n v="0"/>
    <n v="0"/>
    <n v="0"/>
    <n v="0"/>
    <n v="0"/>
    <n v="0"/>
    <n v="0"/>
    <n v="0"/>
    <n v="0"/>
    <n v="0"/>
    <n v="0"/>
    <n v="0"/>
    <n v="0"/>
    <n v="0"/>
    <n v="0"/>
    <n v="0"/>
    <n v="0"/>
    <n v="0"/>
    <n v="0"/>
    <n v="0"/>
    <n v="0"/>
    <x v="1"/>
  </r>
  <r>
    <x v="5"/>
    <x v="46"/>
    <s v="Central level"/>
    <s v="National-level"/>
    <n v="0"/>
    <n v="45000"/>
    <n v="0"/>
    <n v="45000"/>
    <n v="0"/>
    <n v="45000"/>
    <n v="0"/>
    <n v="0"/>
    <n v="0"/>
    <n v="0"/>
    <n v="135000"/>
    <n v="0"/>
    <n v="45000"/>
    <n v="0"/>
    <n v="45000"/>
    <n v="0"/>
    <n v="45000"/>
    <n v="0"/>
    <n v="0"/>
    <n v="0"/>
    <n v="0"/>
    <x v="1"/>
  </r>
  <r>
    <x v="5"/>
    <x v="47"/>
    <s v="Central level"/>
    <s v="Central"/>
    <n v="0"/>
    <n v="0"/>
    <n v="0"/>
    <n v="0"/>
    <n v="0"/>
    <n v="0"/>
    <n v="0"/>
    <n v="0"/>
    <n v="0"/>
    <n v="0"/>
    <n v="0"/>
    <n v="0"/>
    <n v="0"/>
    <n v="0"/>
    <n v="0"/>
    <n v="0"/>
    <n v="0"/>
    <n v="0"/>
    <n v="0"/>
    <n v="0"/>
    <n v="0"/>
    <x v="1"/>
  </r>
  <r>
    <x v="5"/>
    <x v="47"/>
    <s v="Central level"/>
    <s v="Copperbelt"/>
    <n v="0"/>
    <n v="0"/>
    <n v="0"/>
    <n v="0"/>
    <n v="0"/>
    <n v="0"/>
    <n v="0"/>
    <n v="0"/>
    <n v="0"/>
    <n v="0"/>
    <n v="0"/>
    <n v="0"/>
    <n v="0"/>
    <n v="0"/>
    <n v="0"/>
    <n v="0"/>
    <n v="0"/>
    <n v="0"/>
    <n v="0"/>
    <n v="0"/>
    <n v="0"/>
    <x v="1"/>
  </r>
  <r>
    <x v="5"/>
    <x v="47"/>
    <s v="Central level"/>
    <s v="Eastern"/>
    <n v="0"/>
    <n v="0"/>
    <n v="0"/>
    <n v="0"/>
    <n v="0"/>
    <n v="0"/>
    <n v="0"/>
    <n v="0"/>
    <n v="0"/>
    <n v="0"/>
    <n v="0"/>
    <n v="0"/>
    <n v="0"/>
    <n v="0"/>
    <n v="0"/>
    <n v="0"/>
    <n v="0"/>
    <n v="0"/>
    <n v="0"/>
    <n v="0"/>
    <n v="0"/>
    <x v="1"/>
  </r>
  <r>
    <x v="5"/>
    <x v="47"/>
    <s v="Central level"/>
    <s v="Luapula"/>
    <n v="0"/>
    <n v="0"/>
    <n v="0"/>
    <n v="0"/>
    <n v="0"/>
    <n v="0"/>
    <n v="0"/>
    <n v="0"/>
    <n v="0"/>
    <n v="0"/>
    <n v="0"/>
    <n v="0"/>
    <n v="0"/>
    <n v="0"/>
    <n v="0"/>
    <n v="0"/>
    <n v="0"/>
    <n v="0"/>
    <n v="0"/>
    <n v="0"/>
    <n v="0"/>
    <x v="1"/>
  </r>
  <r>
    <x v="5"/>
    <x v="47"/>
    <s v="Central level"/>
    <s v="Lusaka"/>
    <n v="0"/>
    <n v="0"/>
    <n v="0"/>
    <n v="0"/>
    <n v="0"/>
    <n v="0"/>
    <n v="0"/>
    <n v="0"/>
    <n v="0"/>
    <n v="0"/>
    <n v="0"/>
    <n v="0"/>
    <n v="0"/>
    <n v="0"/>
    <n v="0"/>
    <n v="0"/>
    <n v="0"/>
    <n v="0"/>
    <n v="0"/>
    <n v="0"/>
    <n v="0"/>
    <x v="1"/>
  </r>
  <r>
    <x v="5"/>
    <x v="47"/>
    <s v="Central level"/>
    <s v="Muchinga"/>
    <n v="0"/>
    <n v="0"/>
    <n v="0"/>
    <n v="0"/>
    <n v="0"/>
    <n v="0"/>
    <n v="0"/>
    <n v="0"/>
    <n v="0"/>
    <n v="0"/>
    <n v="0"/>
    <n v="0"/>
    <n v="0"/>
    <n v="0"/>
    <n v="0"/>
    <n v="0"/>
    <n v="0"/>
    <n v="0"/>
    <n v="0"/>
    <n v="0"/>
    <n v="0"/>
    <x v="1"/>
  </r>
  <r>
    <x v="5"/>
    <x v="47"/>
    <s v="Central level"/>
    <s v="Northern"/>
    <n v="0"/>
    <n v="0"/>
    <n v="0"/>
    <n v="0"/>
    <n v="0"/>
    <n v="0"/>
    <n v="0"/>
    <n v="0"/>
    <n v="0"/>
    <n v="0"/>
    <n v="0"/>
    <n v="0"/>
    <n v="0"/>
    <n v="0"/>
    <n v="0"/>
    <n v="0"/>
    <n v="0"/>
    <n v="0"/>
    <n v="0"/>
    <n v="0"/>
    <n v="0"/>
    <x v="1"/>
  </r>
  <r>
    <x v="5"/>
    <x v="47"/>
    <s v="Central level"/>
    <s v="North Western"/>
    <n v="0"/>
    <n v="0"/>
    <n v="0"/>
    <n v="0"/>
    <n v="0"/>
    <n v="0"/>
    <n v="0"/>
    <n v="0"/>
    <n v="0"/>
    <n v="0"/>
    <n v="0"/>
    <n v="0"/>
    <n v="0"/>
    <n v="0"/>
    <n v="0"/>
    <n v="0"/>
    <n v="0"/>
    <n v="0"/>
    <n v="0"/>
    <n v="0"/>
    <n v="0"/>
    <x v="1"/>
  </r>
  <r>
    <x v="5"/>
    <x v="47"/>
    <s v="Central level"/>
    <s v="Southern"/>
    <n v="0"/>
    <n v="0"/>
    <n v="0"/>
    <n v="0"/>
    <n v="0"/>
    <n v="0"/>
    <n v="0"/>
    <n v="0"/>
    <n v="0"/>
    <n v="0"/>
    <n v="0"/>
    <n v="0"/>
    <n v="0"/>
    <n v="0"/>
    <n v="0"/>
    <n v="0"/>
    <n v="0"/>
    <n v="0"/>
    <n v="0"/>
    <n v="0"/>
    <n v="0"/>
    <x v="1"/>
  </r>
  <r>
    <x v="5"/>
    <x v="47"/>
    <s v="Central level"/>
    <s v="Western"/>
    <n v="0"/>
    <n v="0"/>
    <n v="0"/>
    <n v="0"/>
    <n v="0"/>
    <n v="0"/>
    <n v="0"/>
    <n v="0"/>
    <n v="0"/>
    <n v="0"/>
    <n v="0"/>
    <n v="0"/>
    <n v="0"/>
    <n v="0"/>
    <n v="0"/>
    <n v="0"/>
    <n v="0"/>
    <n v="0"/>
    <n v="0"/>
    <n v="0"/>
    <n v="0"/>
    <x v="1"/>
  </r>
  <r>
    <x v="5"/>
    <x v="47"/>
    <s v="Central level"/>
    <n v="0"/>
    <n v="0"/>
    <n v="0"/>
    <n v="0"/>
    <n v="0"/>
    <n v="0"/>
    <n v="0"/>
    <n v="0"/>
    <n v="0"/>
    <n v="0"/>
    <n v="0"/>
    <n v="0"/>
    <n v="0"/>
    <n v="0"/>
    <n v="0"/>
    <n v="0"/>
    <n v="0"/>
    <n v="0"/>
    <n v="0"/>
    <n v="0"/>
    <n v="0"/>
    <n v="0"/>
    <x v="1"/>
  </r>
  <r>
    <x v="5"/>
    <x v="47"/>
    <s v="Central level"/>
    <n v="0"/>
    <n v="0"/>
    <n v="0"/>
    <n v="0"/>
    <n v="0"/>
    <n v="0"/>
    <n v="0"/>
    <n v="0"/>
    <n v="0"/>
    <n v="0"/>
    <n v="0"/>
    <n v="0"/>
    <n v="0"/>
    <n v="0"/>
    <n v="0"/>
    <n v="0"/>
    <n v="0"/>
    <n v="0"/>
    <n v="0"/>
    <n v="0"/>
    <n v="0"/>
    <n v="0"/>
    <x v="1"/>
  </r>
  <r>
    <x v="5"/>
    <x v="47"/>
    <s v="Central level"/>
    <n v="0"/>
    <n v="0"/>
    <n v="0"/>
    <n v="0"/>
    <n v="0"/>
    <n v="0"/>
    <n v="0"/>
    <n v="0"/>
    <n v="0"/>
    <n v="0"/>
    <n v="0"/>
    <n v="0"/>
    <n v="0"/>
    <n v="0"/>
    <n v="0"/>
    <n v="0"/>
    <n v="0"/>
    <n v="0"/>
    <n v="0"/>
    <n v="0"/>
    <n v="0"/>
    <n v="0"/>
    <x v="1"/>
  </r>
  <r>
    <x v="5"/>
    <x v="47"/>
    <s v="Central level"/>
    <n v="0"/>
    <n v="0"/>
    <n v="0"/>
    <n v="0"/>
    <n v="0"/>
    <n v="0"/>
    <n v="0"/>
    <n v="0"/>
    <n v="0"/>
    <n v="0"/>
    <n v="0"/>
    <n v="0"/>
    <n v="0"/>
    <n v="0"/>
    <n v="0"/>
    <n v="0"/>
    <n v="0"/>
    <n v="0"/>
    <n v="0"/>
    <n v="0"/>
    <n v="0"/>
    <n v="0"/>
    <x v="1"/>
  </r>
  <r>
    <x v="5"/>
    <x v="47"/>
    <s v="Central level"/>
    <n v="0"/>
    <n v="0"/>
    <n v="0"/>
    <n v="0"/>
    <n v="0"/>
    <n v="0"/>
    <n v="0"/>
    <n v="0"/>
    <n v="0"/>
    <n v="0"/>
    <n v="0"/>
    <n v="0"/>
    <n v="0"/>
    <n v="0"/>
    <n v="0"/>
    <n v="0"/>
    <n v="0"/>
    <n v="0"/>
    <n v="0"/>
    <n v="0"/>
    <n v="0"/>
    <n v="0"/>
    <x v="1"/>
  </r>
  <r>
    <x v="5"/>
    <x v="47"/>
    <s v="Central level"/>
    <s v="National-level"/>
    <n v="0"/>
    <n v="0"/>
    <n v="0"/>
    <n v="0"/>
    <n v="0"/>
    <n v="0"/>
    <n v="0"/>
    <n v="0"/>
    <n v="0"/>
    <n v="0"/>
    <n v="0"/>
    <n v="0"/>
    <n v="0"/>
    <n v="0"/>
    <n v="0"/>
    <n v="0"/>
    <n v="0"/>
    <n v="0"/>
    <n v="0"/>
    <n v="0"/>
    <n v="0"/>
    <x v="1"/>
  </r>
  <r>
    <x v="5"/>
    <x v="48"/>
    <s v="Central level"/>
    <s v="Central"/>
    <n v="0"/>
    <n v="0"/>
    <n v="0"/>
    <n v="0"/>
    <n v="0"/>
    <n v="0"/>
    <n v="0"/>
    <n v="0"/>
    <n v="0"/>
    <n v="0"/>
    <n v="0"/>
    <n v="0"/>
    <n v="0"/>
    <n v="0"/>
    <n v="0"/>
    <n v="0"/>
    <n v="0"/>
    <n v="0"/>
    <n v="0"/>
    <n v="0"/>
    <n v="0"/>
    <x v="1"/>
  </r>
  <r>
    <x v="5"/>
    <x v="48"/>
    <s v="Central level"/>
    <s v="Copperbelt"/>
    <n v="0"/>
    <n v="0"/>
    <n v="0"/>
    <n v="0"/>
    <n v="0"/>
    <n v="0"/>
    <n v="0"/>
    <n v="0"/>
    <n v="0"/>
    <n v="0"/>
    <n v="0"/>
    <n v="0"/>
    <n v="0"/>
    <n v="0"/>
    <n v="0"/>
    <n v="0"/>
    <n v="0"/>
    <n v="0"/>
    <n v="0"/>
    <n v="0"/>
    <n v="0"/>
    <x v="1"/>
  </r>
  <r>
    <x v="5"/>
    <x v="48"/>
    <s v="Central level"/>
    <s v="Eastern"/>
    <n v="0"/>
    <n v="0"/>
    <n v="0"/>
    <n v="0"/>
    <n v="0"/>
    <n v="0"/>
    <n v="0"/>
    <n v="0"/>
    <n v="0"/>
    <n v="0"/>
    <n v="0"/>
    <n v="0"/>
    <n v="0"/>
    <n v="0"/>
    <n v="0"/>
    <n v="0"/>
    <n v="0"/>
    <n v="0"/>
    <n v="0"/>
    <n v="0"/>
    <n v="0"/>
    <x v="1"/>
  </r>
  <r>
    <x v="5"/>
    <x v="48"/>
    <s v="Central level"/>
    <s v="Luapula"/>
    <n v="0"/>
    <n v="0"/>
    <n v="0"/>
    <n v="0"/>
    <n v="0"/>
    <n v="0"/>
    <n v="0"/>
    <n v="0"/>
    <n v="0"/>
    <n v="0"/>
    <n v="0"/>
    <n v="0"/>
    <n v="0"/>
    <n v="0"/>
    <n v="0"/>
    <n v="0"/>
    <n v="0"/>
    <n v="0"/>
    <n v="0"/>
    <n v="0"/>
    <n v="0"/>
    <x v="1"/>
  </r>
  <r>
    <x v="5"/>
    <x v="48"/>
    <s v="Central level"/>
    <s v="Lusaka"/>
    <n v="0"/>
    <n v="0"/>
    <n v="0"/>
    <n v="0"/>
    <n v="0"/>
    <n v="0"/>
    <n v="0"/>
    <n v="0"/>
    <n v="0"/>
    <n v="0"/>
    <n v="0"/>
    <n v="0"/>
    <n v="0"/>
    <n v="0"/>
    <n v="0"/>
    <n v="0"/>
    <n v="0"/>
    <n v="0"/>
    <n v="0"/>
    <n v="0"/>
    <n v="0"/>
    <x v="1"/>
  </r>
  <r>
    <x v="5"/>
    <x v="48"/>
    <s v="Central level"/>
    <s v="Muchinga"/>
    <n v="0"/>
    <n v="0"/>
    <n v="0"/>
    <n v="0"/>
    <n v="0"/>
    <n v="0"/>
    <n v="0"/>
    <n v="0"/>
    <n v="0"/>
    <n v="0"/>
    <n v="0"/>
    <n v="0"/>
    <n v="0"/>
    <n v="0"/>
    <n v="0"/>
    <n v="0"/>
    <n v="0"/>
    <n v="0"/>
    <n v="0"/>
    <n v="0"/>
    <n v="0"/>
    <x v="1"/>
  </r>
  <r>
    <x v="5"/>
    <x v="48"/>
    <s v="Central level"/>
    <s v="Northern"/>
    <n v="0"/>
    <n v="0"/>
    <n v="0"/>
    <n v="0"/>
    <n v="0"/>
    <n v="0"/>
    <n v="0"/>
    <n v="0"/>
    <n v="0"/>
    <n v="0"/>
    <n v="0"/>
    <n v="0"/>
    <n v="0"/>
    <n v="0"/>
    <n v="0"/>
    <n v="0"/>
    <n v="0"/>
    <n v="0"/>
    <n v="0"/>
    <n v="0"/>
    <n v="0"/>
    <x v="1"/>
  </r>
  <r>
    <x v="5"/>
    <x v="48"/>
    <s v="Central level"/>
    <s v="North Western"/>
    <n v="0"/>
    <n v="0"/>
    <n v="0"/>
    <n v="0"/>
    <n v="0"/>
    <n v="0"/>
    <n v="0"/>
    <n v="0"/>
    <n v="0"/>
    <n v="0"/>
    <n v="0"/>
    <n v="0"/>
    <n v="0"/>
    <n v="0"/>
    <n v="0"/>
    <n v="0"/>
    <n v="0"/>
    <n v="0"/>
    <n v="0"/>
    <n v="0"/>
    <n v="0"/>
    <x v="1"/>
  </r>
  <r>
    <x v="5"/>
    <x v="48"/>
    <s v="Central level"/>
    <s v="Southern"/>
    <n v="0"/>
    <n v="0"/>
    <n v="0"/>
    <n v="0"/>
    <n v="0"/>
    <n v="0"/>
    <n v="0"/>
    <n v="0"/>
    <n v="0"/>
    <n v="0"/>
    <n v="0"/>
    <n v="0"/>
    <n v="0"/>
    <n v="0"/>
    <n v="0"/>
    <n v="0"/>
    <n v="0"/>
    <n v="0"/>
    <n v="0"/>
    <n v="0"/>
    <n v="0"/>
    <x v="1"/>
  </r>
  <r>
    <x v="5"/>
    <x v="48"/>
    <s v="Central level"/>
    <s v="Western"/>
    <n v="0"/>
    <n v="0"/>
    <n v="0"/>
    <n v="0"/>
    <n v="0"/>
    <n v="0"/>
    <n v="0"/>
    <n v="0"/>
    <n v="0"/>
    <n v="0"/>
    <n v="0"/>
    <n v="0"/>
    <n v="0"/>
    <n v="0"/>
    <n v="0"/>
    <n v="0"/>
    <n v="0"/>
    <n v="0"/>
    <n v="0"/>
    <n v="0"/>
    <n v="0"/>
    <x v="1"/>
  </r>
  <r>
    <x v="5"/>
    <x v="48"/>
    <s v="Central level"/>
    <n v="0"/>
    <n v="0"/>
    <n v="0"/>
    <n v="0"/>
    <n v="0"/>
    <n v="0"/>
    <n v="0"/>
    <n v="0"/>
    <n v="0"/>
    <n v="0"/>
    <n v="0"/>
    <n v="0"/>
    <n v="0"/>
    <n v="0"/>
    <n v="0"/>
    <n v="0"/>
    <n v="0"/>
    <n v="0"/>
    <n v="0"/>
    <n v="0"/>
    <n v="0"/>
    <n v="0"/>
    <x v="1"/>
  </r>
  <r>
    <x v="5"/>
    <x v="48"/>
    <s v="Central level"/>
    <n v="0"/>
    <n v="0"/>
    <n v="0"/>
    <n v="0"/>
    <n v="0"/>
    <n v="0"/>
    <n v="0"/>
    <n v="0"/>
    <n v="0"/>
    <n v="0"/>
    <n v="0"/>
    <n v="0"/>
    <n v="0"/>
    <n v="0"/>
    <n v="0"/>
    <n v="0"/>
    <n v="0"/>
    <n v="0"/>
    <n v="0"/>
    <n v="0"/>
    <n v="0"/>
    <n v="0"/>
    <x v="1"/>
  </r>
  <r>
    <x v="5"/>
    <x v="48"/>
    <s v="Central level"/>
    <n v="0"/>
    <n v="0"/>
    <n v="0"/>
    <n v="0"/>
    <n v="0"/>
    <n v="0"/>
    <n v="0"/>
    <n v="0"/>
    <n v="0"/>
    <n v="0"/>
    <n v="0"/>
    <n v="0"/>
    <n v="0"/>
    <n v="0"/>
    <n v="0"/>
    <n v="0"/>
    <n v="0"/>
    <n v="0"/>
    <n v="0"/>
    <n v="0"/>
    <n v="0"/>
    <n v="0"/>
    <x v="1"/>
  </r>
  <r>
    <x v="5"/>
    <x v="48"/>
    <s v="Central level"/>
    <n v="0"/>
    <n v="0"/>
    <n v="0"/>
    <n v="0"/>
    <n v="0"/>
    <n v="0"/>
    <n v="0"/>
    <n v="0"/>
    <n v="0"/>
    <n v="0"/>
    <n v="0"/>
    <n v="0"/>
    <n v="0"/>
    <n v="0"/>
    <n v="0"/>
    <n v="0"/>
    <n v="0"/>
    <n v="0"/>
    <n v="0"/>
    <n v="0"/>
    <n v="0"/>
    <n v="0"/>
    <x v="1"/>
  </r>
  <r>
    <x v="5"/>
    <x v="48"/>
    <s v="Central level"/>
    <n v="0"/>
    <n v="0"/>
    <n v="0"/>
    <n v="0"/>
    <n v="0"/>
    <n v="0"/>
    <n v="0"/>
    <n v="0"/>
    <n v="0"/>
    <n v="0"/>
    <n v="0"/>
    <n v="0"/>
    <n v="0"/>
    <n v="0"/>
    <n v="0"/>
    <n v="0"/>
    <n v="0"/>
    <n v="0"/>
    <n v="0"/>
    <n v="0"/>
    <n v="0"/>
    <n v="0"/>
    <x v="1"/>
  </r>
  <r>
    <x v="5"/>
    <x v="48"/>
    <s v="Central level"/>
    <s v="National-level"/>
    <n v="0"/>
    <n v="53555.152000000002"/>
    <n v="53555.152000000002"/>
    <n v="53555.152000000002"/>
    <n v="53555.152000000002"/>
    <n v="53555.152000000002"/>
    <n v="53555.152000000002"/>
    <n v="53555.152000000002"/>
    <n v="0"/>
    <n v="0"/>
    <n v="374886.06400000001"/>
    <n v="0"/>
    <n v="53555.152000000002"/>
    <n v="53555.152000000002"/>
    <n v="53555.152000000002"/>
    <n v="53555.152000000002"/>
    <n v="53555.152000000002"/>
    <n v="53555.152000000002"/>
    <n v="53555.152000000002"/>
    <n v="0"/>
    <n v="0"/>
    <x v="1"/>
  </r>
  <r>
    <x v="5"/>
    <x v="49"/>
    <s v="Central level"/>
    <s v="Central"/>
    <n v="0"/>
    <n v="0"/>
    <n v="0"/>
    <n v="0"/>
    <n v="0"/>
    <n v="0"/>
    <n v="0"/>
    <n v="0"/>
    <n v="0"/>
    <n v="0"/>
    <n v="0"/>
    <n v="0"/>
    <n v="0"/>
    <n v="0"/>
    <n v="0"/>
    <n v="0"/>
    <n v="0"/>
    <n v="0"/>
    <n v="0"/>
    <n v="0"/>
    <n v="0"/>
    <x v="1"/>
  </r>
  <r>
    <x v="5"/>
    <x v="49"/>
    <s v="Central level"/>
    <s v="Copperbelt"/>
    <n v="0"/>
    <n v="0"/>
    <n v="0"/>
    <n v="0"/>
    <n v="0"/>
    <n v="0"/>
    <n v="0"/>
    <n v="0"/>
    <n v="0"/>
    <n v="0"/>
    <n v="0"/>
    <n v="0"/>
    <n v="0"/>
    <n v="0"/>
    <n v="0"/>
    <n v="0"/>
    <n v="0"/>
    <n v="0"/>
    <n v="0"/>
    <n v="0"/>
    <n v="0"/>
    <x v="1"/>
  </r>
  <r>
    <x v="5"/>
    <x v="49"/>
    <s v="Central level"/>
    <s v="Eastern"/>
    <n v="0"/>
    <n v="0"/>
    <n v="0"/>
    <n v="0"/>
    <n v="0"/>
    <n v="0"/>
    <n v="0"/>
    <n v="0"/>
    <n v="0"/>
    <n v="0"/>
    <n v="0"/>
    <n v="0"/>
    <n v="0"/>
    <n v="0"/>
    <n v="0"/>
    <n v="0"/>
    <n v="0"/>
    <n v="0"/>
    <n v="0"/>
    <n v="0"/>
    <n v="0"/>
    <x v="1"/>
  </r>
  <r>
    <x v="5"/>
    <x v="49"/>
    <s v="Central level"/>
    <s v="Luapula"/>
    <n v="0"/>
    <n v="0"/>
    <n v="0"/>
    <n v="0"/>
    <n v="0"/>
    <n v="0"/>
    <n v="0"/>
    <n v="0"/>
    <n v="0"/>
    <n v="0"/>
    <n v="0"/>
    <n v="0"/>
    <n v="0"/>
    <n v="0"/>
    <n v="0"/>
    <n v="0"/>
    <n v="0"/>
    <n v="0"/>
    <n v="0"/>
    <n v="0"/>
    <n v="0"/>
    <x v="1"/>
  </r>
  <r>
    <x v="5"/>
    <x v="49"/>
    <s v="Central level"/>
    <s v="Lusaka"/>
    <n v="0"/>
    <n v="0"/>
    <n v="0"/>
    <n v="0"/>
    <n v="0"/>
    <n v="0"/>
    <n v="0"/>
    <n v="0"/>
    <n v="0"/>
    <n v="0"/>
    <n v="0"/>
    <n v="0"/>
    <n v="0"/>
    <n v="0"/>
    <n v="0"/>
    <n v="0"/>
    <n v="0"/>
    <n v="0"/>
    <n v="0"/>
    <n v="0"/>
    <n v="0"/>
    <x v="1"/>
  </r>
  <r>
    <x v="5"/>
    <x v="49"/>
    <s v="Central level"/>
    <s v="Muchinga"/>
    <n v="0"/>
    <n v="0"/>
    <n v="0"/>
    <n v="0"/>
    <n v="0"/>
    <n v="0"/>
    <n v="0"/>
    <n v="0"/>
    <n v="0"/>
    <n v="0"/>
    <n v="0"/>
    <n v="0"/>
    <n v="0"/>
    <n v="0"/>
    <n v="0"/>
    <n v="0"/>
    <n v="0"/>
    <n v="0"/>
    <n v="0"/>
    <n v="0"/>
    <n v="0"/>
    <x v="1"/>
  </r>
  <r>
    <x v="5"/>
    <x v="49"/>
    <s v="Central level"/>
    <s v="Northern"/>
    <n v="0"/>
    <n v="0"/>
    <n v="0"/>
    <n v="0"/>
    <n v="0"/>
    <n v="0"/>
    <n v="0"/>
    <n v="0"/>
    <n v="0"/>
    <n v="0"/>
    <n v="0"/>
    <n v="0"/>
    <n v="0"/>
    <n v="0"/>
    <n v="0"/>
    <n v="0"/>
    <n v="0"/>
    <n v="0"/>
    <n v="0"/>
    <n v="0"/>
    <n v="0"/>
    <x v="1"/>
  </r>
  <r>
    <x v="5"/>
    <x v="49"/>
    <s v="Central level"/>
    <s v="North Western"/>
    <n v="0"/>
    <n v="0"/>
    <n v="0"/>
    <n v="0"/>
    <n v="0"/>
    <n v="0"/>
    <n v="0"/>
    <n v="0"/>
    <n v="0"/>
    <n v="0"/>
    <n v="0"/>
    <n v="0"/>
    <n v="0"/>
    <n v="0"/>
    <n v="0"/>
    <n v="0"/>
    <n v="0"/>
    <n v="0"/>
    <n v="0"/>
    <n v="0"/>
    <n v="0"/>
    <x v="1"/>
  </r>
  <r>
    <x v="5"/>
    <x v="49"/>
    <s v="Central level"/>
    <s v="Southern"/>
    <n v="0"/>
    <n v="0"/>
    <n v="0"/>
    <n v="0"/>
    <n v="0"/>
    <n v="0"/>
    <n v="0"/>
    <n v="0"/>
    <n v="0"/>
    <n v="0"/>
    <n v="0"/>
    <n v="0"/>
    <n v="0"/>
    <n v="0"/>
    <n v="0"/>
    <n v="0"/>
    <n v="0"/>
    <n v="0"/>
    <n v="0"/>
    <n v="0"/>
    <n v="0"/>
    <x v="1"/>
  </r>
  <r>
    <x v="5"/>
    <x v="49"/>
    <s v="Central level"/>
    <s v="Western"/>
    <n v="0"/>
    <n v="0"/>
    <n v="0"/>
    <n v="0"/>
    <n v="0"/>
    <n v="0"/>
    <n v="0"/>
    <n v="0"/>
    <n v="0"/>
    <n v="0"/>
    <n v="0"/>
    <n v="0"/>
    <n v="0"/>
    <n v="0"/>
    <n v="0"/>
    <n v="0"/>
    <n v="0"/>
    <n v="0"/>
    <n v="0"/>
    <n v="0"/>
    <n v="0"/>
    <x v="1"/>
  </r>
  <r>
    <x v="5"/>
    <x v="49"/>
    <s v="Central level"/>
    <n v="0"/>
    <n v="0"/>
    <n v="0"/>
    <n v="0"/>
    <n v="0"/>
    <n v="0"/>
    <n v="0"/>
    <n v="0"/>
    <n v="0"/>
    <n v="0"/>
    <n v="0"/>
    <n v="0"/>
    <n v="0"/>
    <n v="0"/>
    <n v="0"/>
    <n v="0"/>
    <n v="0"/>
    <n v="0"/>
    <n v="0"/>
    <n v="0"/>
    <n v="0"/>
    <n v="0"/>
    <x v="1"/>
  </r>
  <r>
    <x v="5"/>
    <x v="49"/>
    <s v="Central level"/>
    <n v="0"/>
    <n v="0"/>
    <n v="0"/>
    <n v="0"/>
    <n v="0"/>
    <n v="0"/>
    <n v="0"/>
    <n v="0"/>
    <n v="0"/>
    <n v="0"/>
    <n v="0"/>
    <n v="0"/>
    <n v="0"/>
    <n v="0"/>
    <n v="0"/>
    <n v="0"/>
    <n v="0"/>
    <n v="0"/>
    <n v="0"/>
    <n v="0"/>
    <n v="0"/>
    <n v="0"/>
    <x v="1"/>
  </r>
  <r>
    <x v="5"/>
    <x v="49"/>
    <s v="Central level"/>
    <n v="0"/>
    <n v="0"/>
    <n v="0"/>
    <n v="0"/>
    <n v="0"/>
    <n v="0"/>
    <n v="0"/>
    <n v="0"/>
    <n v="0"/>
    <n v="0"/>
    <n v="0"/>
    <n v="0"/>
    <n v="0"/>
    <n v="0"/>
    <n v="0"/>
    <n v="0"/>
    <n v="0"/>
    <n v="0"/>
    <n v="0"/>
    <n v="0"/>
    <n v="0"/>
    <n v="0"/>
    <x v="1"/>
  </r>
  <r>
    <x v="5"/>
    <x v="49"/>
    <s v="Central level"/>
    <n v="0"/>
    <n v="0"/>
    <n v="0"/>
    <n v="0"/>
    <n v="0"/>
    <n v="0"/>
    <n v="0"/>
    <n v="0"/>
    <n v="0"/>
    <n v="0"/>
    <n v="0"/>
    <n v="0"/>
    <n v="0"/>
    <n v="0"/>
    <n v="0"/>
    <n v="0"/>
    <n v="0"/>
    <n v="0"/>
    <n v="0"/>
    <n v="0"/>
    <n v="0"/>
    <n v="0"/>
    <x v="1"/>
  </r>
  <r>
    <x v="5"/>
    <x v="49"/>
    <s v="Central level"/>
    <n v="0"/>
    <n v="0"/>
    <n v="0"/>
    <n v="0"/>
    <n v="0"/>
    <n v="0"/>
    <n v="0"/>
    <n v="0"/>
    <n v="0"/>
    <n v="0"/>
    <n v="0"/>
    <n v="0"/>
    <n v="0"/>
    <n v="0"/>
    <n v="0"/>
    <n v="0"/>
    <n v="0"/>
    <n v="0"/>
    <n v="0"/>
    <n v="0"/>
    <n v="0"/>
    <n v="0"/>
    <x v="1"/>
  </r>
  <r>
    <x v="5"/>
    <x v="49"/>
    <s v="Central level"/>
    <s v="National-level"/>
    <n v="0"/>
    <n v="15716.743999999999"/>
    <n v="0"/>
    <n v="0"/>
    <n v="0"/>
    <n v="0"/>
    <n v="0"/>
    <n v="0"/>
    <n v="0"/>
    <n v="0"/>
    <n v="15716.743999999999"/>
    <n v="0"/>
    <n v="15716.743999999999"/>
    <n v="0"/>
    <n v="0"/>
    <n v="0"/>
    <n v="0"/>
    <n v="0"/>
    <n v="0"/>
    <n v="0"/>
    <n v="0"/>
    <x v="1"/>
  </r>
  <r>
    <x v="5"/>
    <x v="50"/>
    <n v="0"/>
    <s v="Central"/>
    <e v="#N/A"/>
    <e v="#N/A"/>
    <e v="#N/A"/>
    <e v="#N/A"/>
    <e v="#N/A"/>
    <e v="#N/A"/>
    <e v="#N/A"/>
    <e v="#N/A"/>
    <e v="#N/A"/>
    <e v="#N/A"/>
    <n v="0"/>
    <n v="0"/>
    <n v="0"/>
    <n v="0"/>
    <n v="0"/>
    <n v="0"/>
    <n v="0"/>
    <n v="0"/>
    <n v="0"/>
    <n v="0"/>
    <n v="0"/>
    <x v="1"/>
  </r>
  <r>
    <x v="5"/>
    <x v="50"/>
    <n v="0"/>
    <s v="Copperbelt"/>
    <e v="#N/A"/>
    <e v="#N/A"/>
    <e v="#N/A"/>
    <e v="#N/A"/>
    <e v="#N/A"/>
    <e v="#N/A"/>
    <e v="#N/A"/>
    <e v="#N/A"/>
    <e v="#N/A"/>
    <e v="#N/A"/>
    <n v="0"/>
    <n v="0"/>
    <n v="0"/>
    <n v="0"/>
    <n v="0"/>
    <n v="0"/>
    <n v="0"/>
    <n v="0"/>
    <n v="0"/>
    <n v="0"/>
    <n v="0"/>
    <x v="1"/>
  </r>
  <r>
    <x v="5"/>
    <x v="50"/>
    <n v="0"/>
    <s v="Eastern"/>
    <e v="#N/A"/>
    <e v="#N/A"/>
    <e v="#N/A"/>
    <e v="#N/A"/>
    <e v="#N/A"/>
    <e v="#N/A"/>
    <e v="#N/A"/>
    <e v="#N/A"/>
    <e v="#N/A"/>
    <e v="#N/A"/>
    <n v="0"/>
    <n v="0"/>
    <n v="0"/>
    <n v="0"/>
    <n v="0"/>
    <n v="0"/>
    <n v="0"/>
    <n v="0"/>
    <n v="0"/>
    <n v="0"/>
    <n v="0"/>
    <x v="1"/>
  </r>
  <r>
    <x v="5"/>
    <x v="50"/>
    <n v="0"/>
    <s v="Luapula"/>
    <e v="#N/A"/>
    <e v="#N/A"/>
    <e v="#N/A"/>
    <e v="#N/A"/>
    <e v="#N/A"/>
    <e v="#N/A"/>
    <e v="#N/A"/>
    <e v="#N/A"/>
    <e v="#N/A"/>
    <e v="#N/A"/>
    <n v="0"/>
    <n v="0"/>
    <n v="0"/>
    <n v="0"/>
    <n v="0"/>
    <n v="0"/>
    <n v="0"/>
    <n v="0"/>
    <n v="0"/>
    <n v="0"/>
    <n v="0"/>
    <x v="1"/>
  </r>
  <r>
    <x v="5"/>
    <x v="50"/>
    <n v="0"/>
    <s v="Lusaka"/>
    <e v="#N/A"/>
    <e v="#N/A"/>
    <e v="#N/A"/>
    <e v="#N/A"/>
    <e v="#N/A"/>
    <e v="#N/A"/>
    <e v="#N/A"/>
    <e v="#N/A"/>
    <e v="#N/A"/>
    <e v="#N/A"/>
    <n v="0"/>
    <n v="0"/>
    <n v="0"/>
    <n v="0"/>
    <n v="0"/>
    <n v="0"/>
    <n v="0"/>
    <n v="0"/>
    <n v="0"/>
    <n v="0"/>
    <n v="0"/>
    <x v="1"/>
  </r>
  <r>
    <x v="5"/>
    <x v="50"/>
    <n v="0"/>
    <s v="Muchinga"/>
    <e v="#N/A"/>
    <e v="#N/A"/>
    <e v="#N/A"/>
    <e v="#N/A"/>
    <e v="#N/A"/>
    <e v="#N/A"/>
    <e v="#N/A"/>
    <e v="#N/A"/>
    <e v="#N/A"/>
    <e v="#N/A"/>
    <n v="0"/>
    <n v="0"/>
    <n v="0"/>
    <n v="0"/>
    <n v="0"/>
    <n v="0"/>
    <n v="0"/>
    <n v="0"/>
    <n v="0"/>
    <n v="0"/>
    <n v="0"/>
    <x v="1"/>
  </r>
  <r>
    <x v="5"/>
    <x v="50"/>
    <n v="0"/>
    <s v="Northern"/>
    <e v="#N/A"/>
    <e v="#N/A"/>
    <e v="#N/A"/>
    <e v="#N/A"/>
    <e v="#N/A"/>
    <e v="#N/A"/>
    <e v="#N/A"/>
    <e v="#N/A"/>
    <e v="#N/A"/>
    <e v="#N/A"/>
    <n v="0"/>
    <n v="0"/>
    <n v="0"/>
    <n v="0"/>
    <n v="0"/>
    <n v="0"/>
    <n v="0"/>
    <n v="0"/>
    <n v="0"/>
    <n v="0"/>
    <n v="0"/>
    <x v="1"/>
  </r>
  <r>
    <x v="5"/>
    <x v="50"/>
    <n v="0"/>
    <s v="North Western"/>
    <e v="#N/A"/>
    <e v="#N/A"/>
    <e v="#N/A"/>
    <e v="#N/A"/>
    <e v="#N/A"/>
    <e v="#N/A"/>
    <e v="#N/A"/>
    <e v="#N/A"/>
    <e v="#N/A"/>
    <e v="#N/A"/>
    <n v="0"/>
    <n v="0"/>
    <n v="0"/>
    <n v="0"/>
    <n v="0"/>
    <n v="0"/>
    <n v="0"/>
    <n v="0"/>
    <n v="0"/>
    <n v="0"/>
    <n v="0"/>
    <x v="1"/>
  </r>
  <r>
    <x v="5"/>
    <x v="50"/>
    <n v="0"/>
    <s v="Southern"/>
    <e v="#N/A"/>
    <e v="#N/A"/>
    <e v="#N/A"/>
    <e v="#N/A"/>
    <e v="#N/A"/>
    <e v="#N/A"/>
    <e v="#N/A"/>
    <e v="#N/A"/>
    <e v="#N/A"/>
    <e v="#N/A"/>
    <n v="0"/>
    <n v="0"/>
    <n v="0"/>
    <n v="0"/>
    <n v="0"/>
    <n v="0"/>
    <n v="0"/>
    <n v="0"/>
    <n v="0"/>
    <n v="0"/>
    <n v="0"/>
    <x v="1"/>
  </r>
  <r>
    <x v="5"/>
    <x v="50"/>
    <n v="0"/>
    <s v="Western"/>
    <e v="#N/A"/>
    <e v="#N/A"/>
    <e v="#N/A"/>
    <e v="#N/A"/>
    <e v="#N/A"/>
    <e v="#N/A"/>
    <e v="#N/A"/>
    <e v="#N/A"/>
    <e v="#N/A"/>
    <e v="#N/A"/>
    <n v="0"/>
    <n v="0"/>
    <n v="0"/>
    <n v="0"/>
    <n v="0"/>
    <n v="0"/>
    <n v="0"/>
    <n v="0"/>
    <n v="0"/>
    <n v="0"/>
    <n v="0"/>
    <x v="1"/>
  </r>
  <r>
    <x v="5"/>
    <x v="50"/>
    <n v="0"/>
    <n v="0"/>
    <e v="#N/A"/>
    <e v="#N/A"/>
    <e v="#N/A"/>
    <e v="#N/A"/>
    <e v="#N/A"/>
    <e v="#N/A"/>
    <e v="#N/A"/>
    <e v="#N/A"/>
    <e v="#N/A"/>
    <e v="#N/A"/>
    <n v="0"/>
    <n v="0"/>
    <n v="0"/>
    <n v="0"/>
    <n v="0"/>
    <n v="0"/>
    <n v="0"/>
    <n v="0"/>
    <n v="0"/>
    <n v="0"/>
    <n v="0"/>
    <x v="1"/>
  </r>
  <r>
    <x v="5"/>
    <x v="50"/>
    <n v="0"/>
    <n v="0"/>
    <e v="#N/A"/>
    <e v="#N/A"/>
    <e v="#N/A"/>
    <e v="#N/A"/>
    <e v="#N/A"/>
    <e v="#N/A"/>
    <e v="#N/A"/>
    <e v="#N/A"/>
    <e v="#N/A"/>
    <e v="#N/A"/>
    <n v="0"/>
    <n v="0"/>
    <n v="0"/>
    <n v="0"/>
    <n v="0"/>
    <n v="0"/>
    <n v="0"/>
    <n v="0"/>
    <n v="0"/>
    <n v="0"/>
    <n v="0"/>
    <x v="1"/>
  </r>
  <r>
    <x v="5"/>
    <x v="50"/>
    <n v="0"/>
    <n v="0"/>
    <e v="#N/A"/>
    <e v="#N/A"/>
    <e v="#N/A"/>
    <e v="#N/A"/>
    <e v="#N/A"/>
    <e v="#N/A"/>
    <e v="#N/A"/>
    <e v="#N/A"/>
    <e v="#N/A"/>
    <e v="#N/A"/>
    <n v="0"/>
    <n v="0"/>
    <n v="0"/>
    <n v="0"/>
    <n v="0"/>
    <n v="0"/>
    <n v="0"/>
    <n v="0"/>
    <n v="0"/>
    <n v="0"/>
    <n v="0"/>
    <x v="1"/>
  </r>
  <r>
    <x v="5"/>
    <x v="50"/>
    <n v="0"/>
    <n v="0"/>
    <e v="#N/A"/>
    <e v="#N/A"/>
    <e v="#N/A"/>
    <e v="#N/A"/>
    <e v="#N/A"/>
    <e v="#N/A"/>
    <e v="#N/A"/>
    <e v="#N/A"/>
    <e v="#N/A"/>
    <e v="#N/A"/>
    <n v="0"/>
    <n v="0"/>
    <n v="0"/>
    <n v="0"/>
    <n v="0"/>
    <n v="0"/>
    <n v="0"/>
    <n v="0"/>
    <n v="0"/>
    <n v="0"/>
    <n v="0"/>
    <x v="1"/>
  </r>
  <r>
    <x v="5"/>
    <x v="50"/>
    <n v="0"/>
    <n v="0"/>
    <e v="#N/A"/>
    <e v="#N/A"/>
    <e v="#N/A"/>
    <e v="#N/A"/>
    <e v="#N/A"/>
    <e v="#N/A"/>
    <e v="#N/A"/>
    <e v="#N/A"/>
    <e v="#N/A"/>
    <e v="#N/A"/>
    <n v="0"/>
    <n v="0"/>
    <n v="0"/>
    <n v="0"/>
    <n v="0"/>
    <n v="0"/>
    <n v="0"/>
    <n v="0"/>
    <n v="0"/>
    <n v="0"/>
    <n v="0"/>
    <x v="1"/>
  </r>
  <r>
    <x v="5"/>
    <x v="50"/>
    <n v="0"/>
    <s v="National-level"/>
    <e v="#N/A"/>
    <e v="#N/A"/>
    <e v="#N/A"/>
    <e v="#N/A"/>
    <e v="#N/A"/>
    <e v="#N/A"/>
    <e v="#N/A"/>
    <e v="#N/A"/>
    <e v="#N/A"/>
    <e v="#N/A"/>
    <n v="0"/>
    <n v="0"/>
    <n v="0"/>
    <n v="0"/>
    <n v="0"/>
    <n v="0"/>
    <n v="0"/>
    <n v="0"/>
    <n v="0"/>
    <n v="0"/>
    <n v="0"/>
    <x v="1"/>
  </r>
  <r>
    <x v="6"/>
    <x v="51"/>
    <s v="Central level"/>
    <s v="Central"/>
    <n v="0"/>
    <n v="0"/>
    <n v="0"/>
    <n v="0"/>
    <n v="0"/>
    <n v="0"/>
    <n v="0"/>
    <n v="0"/>
    <n v="0"/>
    <n v="0"/>
    <n v="0"/>
    <n v="0"/>
    <n v="0"/>
    <n v="0"/>
    <n v="0"/>
    <n v="0"/>
    <n v="0"/>
    <n v="0"/>
    <n v="0"/>
    <n v="0"/>
    <n v="0"/>
    <x v="1"/>
  </r>
  <r>
    <x v="6"/>
    <x v="51"/>
    <s v="Central level"/>
    <s v="Copperbelt"/>
    <n v="0"/>
    <n v="0"/>
    <n v="0"/>
    <n v="0"/>
    <n v="0"/>
    <n v="0"/>
    <n v="0"/>
    <n v="0"/>
    <n v="0"/>
    <n v="0"/>
    <n v="0"/>
    <n v="0"/>
    <n v="0"/>
    <n v="0"/>
    <n v="0"/>
    <n v="0"/>
    <n v="0"/>
    <n v="0"/>
    <n v="0"/>
    <n v="0"/>
    <n v="0"/>
    <x v="1"/>
  </r>
  <r>
    <x v="6"/>
    <x v="51"/>
    <s v="Central level"/>
    <s v="Eastern"/>
    <n v="0"/>
    <n v="0"/>
    <n v="0"/>
    <n v="0"/>
    <n v="0"/>
    <n v="0"/>
    <n v="0"/>
    <n v="0"/>
    <n v="0"/>
    <n v="0"/>
    <n v="0"/>
    <n v="0"/>
    <n v="0"/>
    <n v="0"/>
    <n v="0"/>
    <n v="0"/>
    <n v="0"/>
    <n v="0"/>
    <n v="0"/>
    <n v="0"/>
    <n v="0"/>
    <x v="1"/>
  </r>
  <r>
    <x v="6"/>
    <x v="51"/>
    <s v="Central level"/>
    <s v="Luapula"/>
    <n v="0"/>
    <n v="0"/>
    <n v="0"/>
    <n v="0"/>
    <n v="0"/>
    <n v="0"/>
    <n v="0"/>
    <n v="0"/>
    <n v="0"/>
    <n v="0"/>
    <n v="0"/>
    <n v="0"/>
    <n v="0"/>
    <n v="0"/>
    <n v="0"/>
    <n v="0"/>
    <n v="0"/>
    <n v="0"/>
    <n v="0"/>
    <n v="0"/>
    <n v="0"/>
    <x v="1"/>
  </r>
  <r>
    <x v="6"/>
    <x v="51"/>
    <s v="Central level"/>
    <s v="Lusaka"/>
    <n v="0"/>
    <n v="0"/>
    <n v="0"/>
    <n v="0"/>
    <n v="0"/>
    <n v="0"/>
    <n v="0"/>
    <n v="0"/>
    <n v="0"/>
    <n v="0"/>
    <n v="0"/>
    <n v="0"/>
    <n v="0"/>
    <n v="0"/>
    <n v="0"/>
    <n v="0"/>
    <n v="0"/>
    <n v="0"/>
    <n v="0"/>
    <n v="0"/>
    <n v="0"/>
    <x v="1"/>
  </r>
  <r>
    <x v="6"/>
    <x v="51"/>
    <s v="Central level"/>
    <s v="Muchinga"/>
    <n v="0"/>
    <n v="0"/>
    <n v="0"/>
    <n v="0"/>
    <n v="0"/>
    <n v="0"/>
    <n v="0"/>
    <n v="0"/>
    <n v="0"/>
    <n v="0"/>
    <n v="0"/>
    <n v="0"/>
    <n v="0"/>
    <n v="0"/>
    <n v="0"/>
    <n v="0"/>
    <n v="0"/>
    <n v="0"/>
    <n v="0"/>
    <n v="0"/>
    <n v="0"/>
    <x v="1"/>
  </r>
  <r>
    <x v="6"/>
    <x v="51"/>
    <s v="Central level"/>
    <s v="Northern"/>
    <n v="0"/>
    <n v="0"/>
    <n v="0"/>
    <n v="0"/>
    <n v="0"/>
    <n v="0"/>
    <n v="0"/>
    <n v="0"/>
    <n v="0"/>
    <n v="0"/>
    <n v="0"/>
    <n v="0"/>
    <n v="0"/>
    <n v="0"/>
    <n v="0"/>
    <n v="0"/>
    <n v="0"/>
    <n v="0"/>
    <n v="0"/>
    <n v="0"/>
    <n v="0"/>
    <x v="1"/>
  </r>
  <r>
    <x v="6"/>
    <x v="51"/>
    <s v="Central level"/>
    <s v="North Western"/>
    <n v="0"/>
    <n v="0"/>
    <n v="0"/>
    <n v="0"/>
    <n v="0"/>
    <n v="0"/>
    <n v="0"/>
    <n v="0"/>
    <n v="0"/>
    <n v="0"/>
    <n v="0"/>
    <n v="0"/>
    <n v="0"/>
    <n v="0"/>
    <n v="0"/>
    <n v="0"/>
    <n v="0"/>
    <n v="0"/>
    <n v="0"/>
    <n v="0"/>
    <n v="0"/>
    <x v="1"/>
  </r>
  <r>
    <x v="6"/>
    <x v="51"/>
    <s v="Central level"/>
    <s v="Southern"/>
    <n v="0"/>
    <n v="0"/>
    <n v="0"/>
    <n v="0"/>
    <n v="0"/>
    <n v="0"/>
    <n v="0"/>
    <n v="0"/>
    <n v="0"/>
    <n v="0"/>
    <n v="0"/>
    <n v="0"/>
    <n v="0"/>
    <n v="0"/>
    <n v="0"/>
    <n v="0"/>
    <n v="0"/>
    <n v="0"/>
    <n v="0"/>
    <n v="0"/>
    <n v="0"/>
    <x v="1"/>
  </r>
  <r>
    <x v="6"/>
    <x v="51"/>
    <s v="Central level"/>
    <s v="Western"/>
    <n v="0"/>
    <n v="0"/>
    <n v="0"/>
    <n v="0"/>
    <n v="0"/>
    <n v="0"/>
    <n v="0"/>
    <n v="0"/>
    <n v="0"/>
    <n v="0"/>
    <n v="0"/>
    <n v="0"/>
    <n v="0"/>
    <n v="0"/>
    <n v="0"/>
    <n v="0"/>
    <n v="0"/>
    <n v="0"/>
    <n v="0"/>
    <n v="0"/>
    <n v="0"/>
    <x v="1"/>
  </r>
  <r>
    <x v="6"/>
    <x v="51"/>
    <s v="Central level"/>
    <n v="0"/>
    <n v="0"/>
    <n v="0"/>
    <n v="0"/>
    <n v="0"/>
    <n v="0"/>
    <n v="0"/>
    <n v="0"/>
    <n v="0"/>
    <n v="0"/>
    <n v="0"/>
    <n v="0"/>
    <n v="0"/>
    <n v="0"/>
    <n v="0"/>
    <n v="0"/>
    <n v="0"/>
    <n v="0"/>
    <n v="0"/>
    <n v="0"/>
    <n v="0"/>
    <n v="0"/>
    <x v="1"/>
  </r>
  <r>
    <x v="6"/>
    <x v="51"/>
    <s v="Central level"/>
    <n v="0"/>
    <n v="0"/>
    <n v="0"/>
    <n v="0"/>
    <n v="0"/>
    <n v="0"/>
    <n v="0"/>
    <n v="0"/>
    <n v="0"/>
    <n v="0"/>
    <n v="0"/>
    <n v="0"/>
    <n v="0"/>
    <n v="0"/>
    <n v="0"/>
    <n v="0"/>
    <n v="0"/>
    <n v="0"/>
    <n v="0"/>
    <n v="0"/>
    <n v="0"/>
    <n v="0"/>
    <x v="1"/>
  </r>
  <r>
    <x v="6"/>
    <x v="51"/>
    <s v="Central level"/>
    <n v="0"/>
    <n v="0"/>
    <n v="0"/>
    <n v="0"/>
    <n v="0"/>
    <n v="0"/>
    <n v="0"/>
    <n v="0"/>
    <n v="0"/>
    <n v="0"/>
    <n v="0"/>
    <n v="0"/>
    <n v="0"/>
    <n v="0"/>
    <n v="0"/>
    <n v="0"/>
    <n v="0"/>
    <n v="0"/>
    <n v="0"/>
    <n v="0"/>
    <n v="0"/>
    <n v="0"/>
    <x v="1"/>
  </r>
  <r>
    <x v="6"/>
    <x v="51"/>
    <s v="Central level"/>
    <n v="0"/>
    <n v="0"/>
    <n v="0"/>
    <n v="0"/>
    <n v="0"/>
    <n v="0"/>
    <n v="0"/>
    <n v="0"/>
    <n v="0"/>
    <n v="0"/>
    <n v="0"/>
    <n v="0"/>
    <n v="0"/>
    <n v="0"/>
    <n v="0"/>
    <n v="0"/>
    <n v="0"/>
    <n v="0"/>
    <n v="0"/>
    <n v="0"/>
    <n v="0"/>
    <n v="0"/>
    <x v="1"/>
  </r>
  <r>
    <x v="6"/>
    <x v="51"/>
    <s v="Central level"/>
    <n v="0"/>
    <n v="0"/>
    <n v="0"/>
    <n v="0"/>
    <n v="0"/>
    <n v="0"/>
    <n v="0"/>
    <n v="0"/>
    <n v="0"/>
    <n v="0"/>
    <n v="0"/>
    <n v="0"/>
    <n v="0"/>
    <n v="0"/>
    <n v="0"/>
    <n v="0"/>
    <n v="0"/>
    <n v="0"/>
    <n v="0"/>
    <n v="0"/>
    <n v="0"/>
    <n v="0"/>
    <x v="1"/>
  </r>
  <r>
    <x v="6"/>
    <x v="51"/>
    <s v="Central level"/>
    <s v="National-level"/>
    <n v="0"/>
    <n v="53829.244000000006"/>
    <n v="0"/>
    <n v="53829.244000000006"/>
    <n v="0"/>
    <n v="53829.244000000006"/>
    <n v="0"/>
    <n v="53829.244000000006"/>
    <n v="0"/>
    <n v="0"/>
    <n v="215316.97600000002"/>
    <n v="0"/>
    <n v="53829.244000000006"/>
    <n v="0"/>
    <n v="53829.244000000006"/>
    <n v="0"/>
    <n v="53829.244000000006"/>
    <n v="0"/>
    <n v="53829.244000000006"/>
    <n v="0"/>
    <n v="0"/>
    <x v="1"/>
  </r>
  <r>
    <x v="6"/>
    <x v="52"/>
    <s v="Central level"/>
    <s v="Central"/>
    <n v="0"/>
    <n v="0"/>
    <n v="0"/>
    <n v="0"/>
    <n v="0"/>
    <n v="0"/>
    <n v="0"/>
    <n v="0"/>
    <n v="0"/>
    <n v="0"/>
    <n v="0"/>
    <n v="0"/>
    <n v="0"/>
    <n v="0"/>
    <n v="0"/>
    <n v="0"/>
    <n v="0"/>
    <n v="0"/>
    <n v="0"/>
    <n v="0"/>
    <n v="0"/>
    <x v="1"/>
  </r>
  <r>
    <x v="6"/>
    <x v="52"/>
    <s v="Central level"/>
    <s v="Copperbelt"/>
    <n v="0"/>
    <n v="0"/>
    <n v="0"/>
    <n v="0"/>
    <n v="0"/>
    <n v="0"/>
    <n v="0"/>
    <n v="0"/>
    <n v="0"/>
    <n v="0"/>
    <n v="0"/>
    <n v="0"/>
    <n v="0"/>
    <n v="0"/>
    <n v="0"/>
    <n v="0"/>
    <n v="0"/>
    <n v="0"/>
    <n v="0"/>
    <n v="0"/>
    <n v="0"/>
    <x v="1"/>
  </r>
  <r>
    <x v="6"/>
    <x v="52"/>
    <s v="Central level"/>
    <s v="Eastern"/>
    <n v="0"/>
    <n v="0"/>
    <n v="0"/>
    <n v="0"/>
    <n v="0"/>
    <n v="0"/>
    <n v="0"/>
    <n v="0"/>
    <n v="0"/>
    <n v="0"/>
    <n v="0"/>
    <n v="0"/>
    <n v="0"/>
    <n v="0"/>
    <n v="0"/>
    <n v="0"/>
    <n v="0"/>
    <n v="0"/>
    <n v="0"/>
    <n v="0"/>
    <n v="0"/>
    <x v="1"/>
  </r>
  <r>
    <x v="6"/>
    <x v="52"/>
    <s v="Central level"/>
    <s v="Luapula"/>
    <n v="0"/>
    <n v="0"/>
    <n v="0"/>
    <n v="0"/>
    <n v="0"/>
    <n v="0"/>
    <n v="0"/>
    <n v="0"/>
    <n v="0"/>
    <n v="0"/>
    <n v="0"/>
    <n v="0"/>
    <n v="0"/>
    <n v="0"/>
    <n v="0"/>
    <n v="0"/>
    <n v="0"/>
    <n v="0"/>
    <n v="0"/>
    <n v="0"/>
    <n v="0"/>
    <x v="1"/>
  </r>
  <r>
    <x v="6"/>
    <x v="52"/>
    <s v="Central level"/>
    <s v="Lusaka"/>
    <n v="0"/>
    <n v="0"/>
    <n v="0"/>
    <n v="0"/>
    <n v="0"/>
    <n v="0"/>
    <n v="0"/>
    <n v="0"/>
    <n v="0"/>
    <n v="0"/>
    <n v="0"/>
    <n v="0"/>
    <n v="0"/>
    <n v="0"/>
    <n v="0"/>
    <n v="0"/>
    <n v="0"/>
    <n v="0"/>
    <n v="0"/>
    <n v="0"/>
    <n v="0"/>
    <x v="1"/>
  </r>
  <r>
    <x v="6"/>
    <x v="52"/>
    <s v="Central level"/>
    <s v="Muchinga"/>
    <n v="0"/>
    <n v="0"/>
    <n v="0"/>
    <n v="0"/>
    <n v="0"/>
    <n v="0"/>
    <n v="0"/>
    <n v="0"/>
    <n v="0"/>
    <n v="0"/>
    <n v="0"/>
    <n v="0"/>
    <n v="0"/>
    <n v="0"/>
    <n v="0"/>
    <n v="0"/>
    <n v="0"/>
    <n v="0"/>
    <n v="0"/>
    <n v="0"/>
    <n v="0"/>
    <x v="1"/>
  </r>
  <r>
    <x v="6"/>
    <x v="52"/>
    <s v="Central level"/>
    <s v="Northern"/>
    <n v="0"/>
    <n v="0"/>
    <n v="0"/>
    <n v="0"/>
    <n v="0"/>
    <n v="0"/>
    <n v="0"/>
    <n v="0"/>
    <n v="0"/>
    <n v="0"/>
    <n v="0"/>
    <n v="0"/>
    <n v="0"/>
    <n v="0"/>
    <n v="0"/>
    <n v="0"/>
    <n v="0"/>
    <n v="0"/>
    <n v="0"/>
    <n v="0"/>
    <n v="0"/>
    <x v="1"/>
  </r>
  <r>
    <x v="6"/>
    <x v="52"/>
    <s v="Central level"/>
    <s v="North Western"/>
    <n v="0"/>
    <n v="0"/>
    <n v="0"/>
    <n v="0"/>
    <n v="0"/>
    <n v="0"/>
    <n v="0"/>
    <n v="0"/>
    <n v="0"/>
    <n v="0"/>
    <n v="0"/>
    <n v="0"/>
    <n v="0"/>
    <n v="0"/>
    <n v="0"/>
    <n v="0"/>
    <n v="0"/>
    <n v="0"/>
    <n v="0"/>
    <n v="0"/>
    <n v="0"/>
    <x v="1"/>
  </r>
  <r>
    <x v="6"/>
    <x v="52"/>
    <s v="Central level"/>
    <s v="Southern"/>
    <n v="0"/>
    <n v="0"/>
    <n v="0"/>
    <n v="0"/>
    <n v="0"/>
    <n v="0"/>
    <n v="0"/>
    <n v="0"/>
    <n v="0"/>
    <n v="0"/>
    <n v="0"/>
    <n v="0"/>
    <n v="0"/>
    <n v="0"/>
    <n v="0"/>
    <n v="0"/>
    <n v="0"/>
    <n v="0"/>
    <n v="0"/>
    <n v="0"/>
    <n v="0"/>
    <x v="1"/>
  </r>
  <r>
    <x v="6"/>
    <x v="52"/>
    <s v="Central level"/>
    <s v="Western"/>
    <n v="0"/>
    <n v="0"/>
    <n v="0"/>
    <n v="0"/>
    <n v="0"/>
    <n v="0"/>
    <n v="0"/>
    <n v="0"/>
    <n v="0"/>
    <n v="0"/>
    <n v="0"/>
    <n v="0"/>
    <n v="0"/>
    <n v="0"/>
    <n v="0"/>
    <n v="0"/>
    <n v="0"/>
    <n v="0"/>
    <n v="0"/>
    <n v="0"/>
    <n v="0"/>
    <x v="1"/>
  </r>
  <r>
    <x v="6"/>
    <x v="52"/>
    <s v="Central level"/>
    <n v="0"/>
    <n v="0"/>
    <n v="0"/>
    <n v="0"/>
    <n v="0"/>
    <n v="0"/>
    <n v="0"/>
    <n v="0"/>
    <n v="0"/>
    <n v="0"/>
    <n v="0"/>
    <n v="0"/>
    <n v="0"/>
    <n v="0"/>
    <n v="0"/>
    <n v="0"/>
    <n v="0"/>
    <n v="0"/>
    <n v="0"/>
    <n v="0"/>
    <n v="0"/>
    <n v="0"/>
    <x v="1"/>
  </r>
  <r>
    <x v="6"/>
    <x v="52"/>
    <s v="Central level"/>
    <n v="0"/>
    <n v="0"/>
    <n v="0"/>
    <n v="0"/>
    <n v="0"/>
    <n v="0"/>
    <n v="0"/>
    <n v="0"/>
    <n v="0"/>
    <n v="0"/>
    <n v="0"/>
    <n v="0"/>
    <n v="0"/>
    <n v="0"/>
    <n v="0"/>
    <n v="0"/>
    <n v="0"/>
    <n v="0"/>
    <n v="0"/>
    <n v="0"/>
    <n v="0"/>
    <n v="0"/>
    <x v="1"/>
  </r>
  <r>
    <x v="6"/>
    <x v="52"/>
    <s v="Central level"/>
    <n v="0"/>
    <n v="0"/>
    <n v="0"/>
    <n v="0"/>
    <n v="0"/>
    <n v="0"/>
    <n v="0"/>
    <n v="0"/>
    <n v="0"/>
    <n v="0"/>
    <n v="0"/>
    <n v="0"/>
    <n v="0"/>
    <n v="0"/>
    <n v="0"/>
    <n v="0"/>
    <n v="0"/>
    <n v="0"/>
    <n v="0"/>
    <n v="0"/>
    <n v="0"/>
    <n v="0"/>
    <x v="1"/>
  </r>
  <r>
    <x v="6"/>
    <x v="52"/>
    <s v="Central level"/>
    <n v="0"/>
    <n v="0"/>
    <n v="0"/>
    <n v="0"/>
    <n v="0"/>
    <n v="0"/>
    <n v="0"/>
    <n v="0"/>
    <n v="0"/>
    <n v="0"/>
    <n v="0"/>
    <n v="0"/>
    <n v="0"/>
    <n v="0"/>
    <n v="0"/>
    <n v="0"/>
    <n v="0"/>
    <n v="0"/>
    <n v="0"/>
    <n v="0"/>
    <n v="0"/>
    <n v="0"/>
    <x v="1"/>
  </r>
  <r>
    <x v="6"/>
    <x v="52"/>
    <s v="Central level"/>
    <n v="0"/>
    <n v="0"/>
    <n v="0"/>
    <n v="0"/>
    <n v="0"/>
    <n v="0"/>
    <n v="0"/>
    <n v="0"/>
    <n v="0"/>
    <n v="0"/>
    <n v="0"/>
    <n v="0"/>
    <n v="0"/>
    <n v="0"/>
    <n v="0"/>
    <n v="0"/>
    <n v="0"/>
    <n v="0"/>
    <n v="0"/>
    <n v="0"/>
    <n v="0"/>
    <n v="0"/>
    <x v="1"/>
  </r>
  <r>
    <x v="6"/>
    <x v="52"/>
    <s v="Central level"/>
    <s v="National-level"/>
    <n v="95454.244000000006"/>
    <n v="0"/>
    <n v="0"/>
    <n v="0"/>
    <n v="0"/>
    <n v="0"/>
    <n v="0"/>
    <n v="0"/>
    <n v="0"/>
    <n v="0"/>
    <n v="95454.244000000006"/>
    <n v="95454.244000000006"/>
    <n v="0"/>
    <n v="0"/>
    <n v="0"/>
    <n v="0"/>
    <n v="0"/>
    <n v="0"/>
    <n v="0"/>
    <n v="0"/>
    <n v="0"/>
    <x v="1"/>
  </r>
  <r>
    <x v="6"/>
    <x v="53"/>
    <n v="0"/>
    <s v="Central"/>
    <e v="#N/A"/>
    <e v="#N/A"/>
    <e v="#N/A"/>
    <e v="#N/A"/>
    <e v="#N/A"/>
    <e v="#N/A"/>
    <e v="#N/A"/>
    <e v="#N/A"/>
    <e v="#N/A"/>
    <e v="#N/A"/>
    <n v="0"/>
    <n v="0"/>
    <n v="0"/>
    <n v="0"/>
    <n v="0"/>
    <n v="0"/>
    <n v="0"/>
    <n v="0"/>
    <n v="0"/>
    <n v="0"/>
    <n v="0"/>
    <x v="1"/>
  </r>
  <r>
    <x v="6"/>
    <x v="53"/>
    <n v="0"/>
    <s v="Copperbelt"/>
    <e v="#N/A"/>
    <e v="#N/A"/>
    <e v="#N/A"/>
    <e v="#N/A"/>
    <e v="#N/A"/>
    <e v="#N/A"/>
    <e v="#N/A"/>
    <e v="#N/A"/>
    <e v="#N/A"/>
    <e v="#N/A"/>
    <n v="0"/>
    <n v="0"/>
    <n v="0"/>
    <n v="0"/>
    <n v="0"/>
    <n v="0"/>
    <n v="0"/>
    <n v="0"/>
    <n v="0"/>
    <n v="0"/>
    <n v="0"/>
    <x v="1"/>
  </r>
  <r>
    <x v="6"/>
    <x v="53"/>
    <n v="0"/>
    <s v="Eastern"/>
    <e v="#N/A"/>
    <e v="#N/A"/>
    <e v="#N/A"/>
    <e v="#N/A"/>
    <e v="#N/A"/>
    <e v="#N/A"/>
    <e v="#N/A"/>
    <e v="#N/A"/>
    <e v="#N/A"/>
    <e v="#N/A"/>
    <n v="0"/>
    <n v="0"/>
    <n v="0"/>
    <n v="0"/>
    <n v="0"/>
    <n v="0"/>
    <n v="0"/>
    <n v="0"/>
    <n v="0"/>
    <n v="0"/>
    <n v="0"/>
    <x v="1"/>
  </r>
  <r>
    <x v="6"/>
    <x v="53"/>
    <n v="0"/>
    <s v="Luapula"/>
    <e v="#N/A"/>
    <e v="#N/A"/>
    <e v="#N/A"/>
    <e v="#N/A"/>
    <e v="#N/A"/>
    <e v="#N/A"/>
    <e v="#N/A"/>
    <e v="#N/A"/>
    <e v="#N/A"/>
    <e v="#N/A"/>
    <n v="0"/>
    <n v="0"/>
    <n v="0"/>
    <n v="0"/>
    <n v="0"/>
    <n v="0"/>
    <n v="0"/>
    <n v="0"/>
    <n v="0"/>
    <n v="0"/>
    <n v="0"/>
    <x v="1"/>
  </r>
  <r>
    <x v="6"/>
    <x v="53"/>
    <n v="0"/>
    <s v="Lusaka"/>
    <e v="#N/A"/>
    <e v="#N/A"/>
    <e v="#N/A"/>
    <e v="#N/A"/>
    <e v="#N/A"/>
    <e v="#N/A"/>
    <e v="#N/A"/>
    <e v="#N/A"/>
    <e v="#N/A"/>
    <e v="#N/A"/>
    <n v="0"/>
    <n v="0"/>
    <n v="0"/>
    <n v="0"/>
    <n v="0"/>
    <n v="0"/>
    <n v="0"/>
    <n v="0"/>
    <n v="0"/>
    <n v="0"/>
    <n v="0"/>
    <x v="1"/>
  </r>
  <r>
    <x v="6"/>
    <x v="53"/>
    <n v="0"/>
    <s v="Muchinga"/>
    <e v="#N/A"/>
    <e v="#N/A"/>
    <e v="#N/A"/>
    <e v="#N/A"/>
    <e v="#N/A"/>
    <e v="#N/A"/>
    <e v="#N/A"/>
    <e v="#N/A"/>
    <e v="#N/A"/>
    <e v="#N/A"/>
    <n v="0"/>
    <n v="0"/>
    <n v="0"/>
    <n v="0"/>
    <n v="0"/>
    <n v="0"/>
    <n v="0"/>
    <n v="0"/>
    <n v="0"/>
    <n v="0"/>
    <n v="0"/>
    <x v="1"/>
  </r>
  <r>
    <x v="6"/>
    <x v="53"/>
    <n v="0"/>
    <s v="Northern"/>
    <e v="#N/A"/>
    <e v="#N/A"/>
    <e v="#N/A"/>
    <e v="#N/A"/>
    <e v="#N/A"/>
    <e v="#N/A"/>
    <e v="#N/A"/>
    <e v="#N/A"/>
    <e v="#N/A"/>
    <e v="#N/A"/>
    <n v="0"/>
    <n v="0"/>
    <n v="0"/>
    <n v="0"/>
    <n v="0"/>
    <n v="0"/>
    <n v="0"/>
    <n v="0"/>
    <n v="0"/>
    <n v="0"/>
    <n v="0"/>
    <x v="1"/>
  </r>
  <r>
    <x v="6"/>
    <x v="53"/>
    <n v="0"/>
    <s v="North Western"/>
    <e v="#N/A"/>
    <e v="#N/A"/>
    <e v="#N/A"/>
    <e v="#N/A"/>
    <e v="#N/A"/>
    <e v="#N/A"/>
    <e v="#N/A"/>
    <e v="#N/A"/>
    <e v="#N/A"/>
    <e v="#N/A"/>
    <n v="0"/>
    <n v="0"/>
    <n v="0"/>
    <n v="0"/>
    <n v="0"/>
    <n v="0"/>
    <n v="0"/>
    <n v="0"/>
    <n v="0"/>
    <n v="0"/>
    <n v="0"/>
    <x v="1"/>
  </r>
  <r>
    <x v="6"/>
    <x v="53"/>
    <n v="0"/>
    <s v="Southern"/>
    <e v="#N/A"/>
    <e v="#N/A"/>
    <e v="#N/A"/>
    <e v="#N/A"/>
    <e v="#N/A"/>
    <e v="#N/A"/>
    <e v="#N/A"/>
    <e v="#N/A"/>
    <e v="#N/A"/>
    <e v="#N/A"/>
    <n v="0"/>
    <n v="0"/>
    <n v="0"/>
    <n v="0"/>
    <n v="0"/>
    <n v="0"/>
    <n v="0"/>
    <n v="0"/>
    <n v="0"/>
    <n v="0"/>
    <n v="0"/>
    <x v="1"/>
  </r>
  <r>
    <x v="6"/>
    <x v="53"/>
    <n v="0"/>
    <s v="Western"/>
    <e v="#N/A"/>
    <e v="#N/A"/>
    <e v="#N/A"/>
    <e v="#N/A"/>
    <e v="#N/A"/>
    <e v="#N/A"/>
    <e v="#N/A"/>
    <e v="#N/A"/>
    <e v="#N/A"/>
    <e v="#N/A"/>
    <n v="0"/>
    <n v="0"/>
    <n v="0"/>
    <n v="0"/>
    <n v="0"/>
    <n v="0"/>
    <n v="0"/>
    <n v="0"/>
    <n v="0"/>
    <n v="0"/>
    <n v="0"/>
    <x v="1"/>
  </r>
  <r>
    <x v="6"/>
    <x v="53"/>
    <n v="0"/>
    <n v="0"/>
    <e v="#N/A"/>
    <e v="#N/A"/>
    <e v="#N/A"/>
    <e v="#N/A"/>
    <e v="#N/A"/>
    <e v="#N/A"/>
    <e v="#N/A"/>
    <e v="#N/A"/>
    <e v="#N/A"/>
    <e v="#N/A"/>
    <n v="0"/>
    <n v="0"/>
    <n v="0"/>
    <n v="0"/>
    <n v="0"/>
    <n v="0"/>
    <n v="0"/>
    <n v="0"/>
    <n v="0"/>
    <n v="0"/>
    <n v="0"/>
    <x v="1"/>
  </r>
  <r>
    <x v="6"/>
    <x v="53"/>
    <n v="0"/>
    <n v="0"/>
    <e v="#N/A"/>
    <e v="#N/A"/>
    <e v="#N/A"/>
    <e v="#N/A"/>
    <e v="#N/A"/>
    <e v="#N/A"/>
    <e v="#N/A"/>
    <e v="#N/A"/>
    <e v="#N/A"/>
    <e v="#N/A"/>
    <n v="0"/>
    <n v="0"/>
    <n v="0"/>
    <n v="0"/>
    <n v="0"/>
    <n v="0"/>
    <n v="0"/>
    <n v="0"/>
    <n v="0"/>
    <n v="0"/>
    <n v="0"/>
    <x v="1"/>
  </r>
  <r>
    <x v="6"/>
    <x v="53"/>
    <n v="0"/>
    <n v="0"/>
    <e v="#N/A"/>
    <e v="#N/A"/>
    <e v="#N/A"/>
    <e v="#N/A"/>
    <e v="#N/A"/>
    <e v="#N/A"/>
    <e v="#N/A"/>
    <e v="#N/A"/>
    <e v="#N/A"/>
    <e v="#N/A"/>
    <n v="0"/>
    <n v="0"/>
    <n v="0"/>
    <n v="0"/>
    <n v="0"/>
    <n v="0"/>
    <n v="0"/>
    <n v="0"/>
    <n v="0"/>
    <n v="0"/>
    <n v="0"/>
    <x v="1"/>
  </r>
  <r>
    <x v="6"/>
    <x v="53"/>
    <n v="0"/>
    <n v="0"/>
    <e v="#N/A"/>
    <e v="#N/A"/>
    <e v="#N/A"/>
    <e v="#N/A"/>
    <e v="#N/A"/>
    <e v="#N/A"/>
    <e v="#N/A"/>
    <e v="#N/A"/>
    <e v="#N/A"/>
    <e v="#N/A"/>
    <n v="0"/>
    <n v="0"/>
    <n v="0"/>
    <n v="0"/>
    <n v="0"/>
    <n v="0"/>
    <n v="0"/>
    <n v="0"/>
    <n v="0"/>
    <n v="0"/>
    <n v="0"/>
    <x v="1"/>
  </r>
  <r>
    <x v="6"/>
    <x v="53"/>
    <n v="0"/>
    <n v="0"/>
    <e v="#N/A"/>
    <e v="#N/A"/>
    <e v="#N/A"/>
    <e v="#N/A"/>
    <e v="#N/A"/>
    <e v="#N/A"/>
    <e v="#N/A"/>
    <e v="#N/A"/>
    <e v="#N/A"/>
    <e v="#N/A"/>
    <n v="0"/>
    <n v="0"/>
    <n v="0"/>
    <n v="0"/>
    <n v="0"/>
    <n v="0"/>
    <n v="0"/>
    <n v="0"/>
    <n v="0"/>
    <n v="0"/>
    <n v="0"/>
    <x v="1"/>
  </r>
  <r>
    <x v="6"/>
    <x v="53"/>
    <n v="0"/>
    <s v="National-level"/>
    <e v="#N/A"/>
    <e v="#N/A"/>
    <e v="#N/A"/>
    <e v="#N/A"/>
    <e v="#N/A"/>
    <e v="#N/A"/>
    <e v="#N/A"/>
    <e v="#N/A"/>
    <e v="#N/A"/>
    <e v="#N/A"/>
    <n v="0"/>
    <n v="0"/>
    <n v="0"/>
    <n v="0"/>
    <n v="0"/>
    <n v="0"/>
    <n v="0"/>
    <n v="0"/>
    <n v="0"/>
    <n v="0"/>
    <n v="0"/>
    <x v="1"/>
  </r>
  <r>
    <x v="6"/>
    <x v="54"/>
    <n v="0"/>
    <s v="Central"/>
    <e v="#N/A"/>
    <e v="#N/A"/>
    <e v="#N/A"/>
    <e v="#N/A"/>
    <e v="#N/A"/>
    <e v="#N/A"/>
    <e v="#N/A"/>
    <e v="#N/A"/>
    <e v="#N/A"/>
    <e v="#N/A"/>
    <n v="0"/>
    <n v="0"/>
    <n v="0"/>
    <n v="0"/>
    <n v="0"/>
    <n v="0"/>
    <n v="0"/>
    <n v="0"/>
    <n v="0"/>
    <n v="0"/>
    <n v="0"/>
    <x v="1"/>
  </r>
  <r>
    <x v="6"/>
    <x v="54"/>
    <n v="0"/>
    <s v="Copperbelt"/>
    <e v="#N/A"/>
    <e v="#N/A"/>
    <e v="#N/A"/>
    <e v="#N/A"/>
    <e v="#N/A"/>
    <e v="#N/A"/>
    <e v="#N/A"/>
    <e v="#N/A"/>
    <e v="#N/A"/>
    <e v="#N/A"/>
    <n v="0"/>
    <n v="0"/>
    <n v="0"/>
    <n v="0"/>
    <n v="0"/>
    <n v="0"/>
    <n v="0"/>
    <n v="0"/>
    <n v="0"/>
    <n v="0"/>
    <n v="0"/>
    <x v="1"/>
  </r>
  <r>
    <x v="6"/>
    <x v="54"/>
    <n v="0"/>
    <s v="Eastern"/>
    <e v="#N/A"/>
    <e v="#N/A"/>
    <e v="#N/A"/>
    <e v="#N/A"/>
    <e v="#N/A"/>
    <e v="#N/A"/>
    <e v="#N/A"/>
    <e v="#N/A"/>
    <e v="#N/A"/>
    <e v="#N/A"/>
    <n v="0"/>
    <n v="0"/>
    <n v="0"/>
    <n v="0"/>
    <n v="0"/>
    <n v="0"/>
    <n v="0"/>
    <n v="0"/>
    <n v="0"/>
    <n v="0"/>
    <n v="0"/>
    <x v="1"/>
  </r>
  <r>
    <x v="6"/>
    <x v="54"/>
    <n v="0"/>
    <s v="Luapula"/>
    <e v="#N/A"/>
    <e v="#N/A"/>
    <e v="#N/A"/>
    <e v="#N/A"/>
    <e v="#N/A"/>
    <e v="#N/A"/>
    <e v="#N/A"/>
    <e v="#N/A"/>
    <e v="#N/A"/>
    <e v="#N/A"/>
    <n v="0"/>
    <n v="0"/>
    <n v="0"/>
    <n v="0"/>
    <n v="0"/>
    <n v="0"/>
    <n v="0"/>
    <n v="0"/>
    <n v="0"/>
    <n v="0"/>
    <n v="0"/>
    <x v="1"/>
  </r>
  <r>
    <x v="6"/>
    <x v="54"/>
    <n v="0"/>
    <s v="Lusaka"/>
    <e v="#N/A"/>
    <e v="#N/A"/>
    <e v="#N/A"/>
    <e v="#N/A"/>
    <e v="#N/A"/>
    <e v="#N/A"/>
    <e v="#N/A"/>
    <e v="#N/A"/>
    <e v="#N/A"/>
    <e v="#N/A"/>
    <n v="0"/>
    <n v="0"/>
    <n v="0"/>
    <n v="0"/>
    <n v="0"/>
    <n v="0"/>
    <n v="0"/>
    <n v="0"/>
    <n v="0"/>
    <n v="0"/>
    <n v="0"/>
    <x v="1"/>
  </r>
  <r>
    <x v="6"/>
    <x v="54"/>
    <n v="0"/>
    <s v="Muchinga"/>
    <e v="#N/A"/>
    <e v="#N/A"/>
    <e v="#N/A"/>
    <e v="#N/A"/>
    <e v="#N/A"/>
    <e v="#N/A"/>
    <e v="#N/A"/>
    <e v="#N/A"/>
    <e v="#N/A"/>
    <e v="#N/A"/>
    <n v="0"/>
    <n v="0"/>
    <n v="0"/>
    <n v="0"/>
    <n v="0"/>
    <n v="0"/>
    <n v="0"/>
    <n v="0"/>
    <n v="0"/>
    <n v="0"/>
    <n v="0"/>
    <x v="1"/>
  </r>
  <r>
    <x v="6"/>
    <x v="54"/>
    <n v="0"/>
    <s v="Northern"/>
    <e v="#N/A"/>
    <e v="#N/A"/>
    <e v="#N/A"/>
    <e v="#N/A"/>
    <e v="#N/A"/>
    <e v="#N/A"/>
    <e v="#N/A"/>
    <e v="#N/A"/>
    <e v="#N/A"/>
    <e v="#N/A"/>
    <n v="0"/>
    <n v="0"/>
    <n v="0"/>
    <n v="0"/>
    <n v="0"/>
    <n v="0"/>
    <n v="0"/>
    <n v="0"/>
    <n v="0"/>
    <n v="0"/>
    <n v="0"/>
    <x v="1"/>
  </r>
  <r>
    <x v="6"/>
    <x v="54"/>
    <n v="0"/>
    <s v="North Western"/>
    <e v="#N/A"/>
    <e v="#N/A"/>
    <e v="#N/A"/>
    <e v="#N/A"/>
    <e v="#N/A"/>
    <e v="#N/A"/>
    <e v="#N/A"/>
    <e v="#N/A"/>
    <e v="#N/A"/>
    <e v="#N/A"/>
    <n v="0"/>
    <n v="0"/>
    <n v="0"/>
    <n v="0"/>
    <n v="0"/>
    <n v="0"/>
    <n v="0"/>
    <n v="0"/>
    <n v="0"/>
    <n v="0"/>
    <n v="0"/>
    <x v="1"/>
  </r>
  <r>
    <x v="6"/>
    <x v="54"/>
    <n v="0"/>
    <s v="Southern"/>
    <e v="#N/A"/>
    <e v="#N/A"/>
    <e v="#N/A"/>
    <e v="#N/A"/>
    <e v="#N/A"/>
    <e v="#N/A"/>
    <e v="#N/A"/>
    <e v="#N/A"/>
    <e v="#N/A"/>
    <e v="#N/A"/>
    <n v="0"/>
    <n v="0"/>
    <n v="0"/>
    <n v="0"/>
    <n v="0"/>
    <n v="0"/>
    <n v="0"/>
    <n v="0"/>
    <n v="0"/>
    <n v="0"/>
    <n v="0"/>
    <x v="1"/>
  </r>
  <r>
    <x v="6"/>
    <x v="54"/>
    <n v="0"/>
    <s v="Western"/>
    <e v="#N/A"/>
    <e v="#N/A"/>
    <e v="#N/A"/>
    <e v="#N/A"/>
    <e v="#N/A"/>
    <e v="#N/A"/>
    <e v="#N/A"/>
    <e v="#N/A"/>
    <e v="#N/A"/>
    <e v="#N/A"/>
    <n v="0"/>
    <n v="0"/>
    <n v="0"/>
    <n v="0"/>
    <n v="0"/>
    <n v="0"/>
    <n v="0"/>
    <n v="0"/>
    <n v="0"/>
    <n v="0"/>
    <n v="0"/>
    <x v="1"/>
  </r>
  <r>
    <x v="6"/>
    <x v="54"/>
    <n v="0"/>
    <n v="0"/>
    <e v="#N/A"/>
    <e v="#N/A"/>
    <e v="#N/A"/>
    <e v="#N/A"/>
    <e v="#N/A"/>
    <e v="#N/A"/>
    <e v="#N/A"/>
    <e v="#N/A"/>
    <e v="#N/A"/>
    <e v="#N/A"/>
    <n v="0"/>
    <n v="0"/>
    <n v="0"/>
    <n v="0"/>
    <n v="0"/>
    <n v="0"/>
    <n v="0"/>
    <n v="0"/>
    <n v="0"/>
    <n v="0"/>
    <n v="0"/>
    <x v="1"/>
  </r>
  <r>
    <x v="6"/>
    <x v="54"/>
    <n v="0"/>
    <n v="0"/>
    <e v="#N/A"/>
    <e v="#N/A"/>
    <e v="#N/A"/>
    <e v="#N/A"/>
    <e v="#N/A"/>
    <e v="#N/A"/>
    <e v="#N/A"/>
    <e v="#N/A"/>
    <e v="#N/A"/>
    <e v="#N/A"/>
    <n v="0"/>
    <n v="0"/>
    <n v="0"/>
    <n v="0"/>
    <n v="0"/>
    <n v="0"/>
    <n v="0"/>
    <n v="0"/>
    <n v="0"/>
    <n v="0"/>
    <n v="0"/>
    <x v="1"/>
  </r>
  <r>
    <x v="6"/>
    <x v="54"/>
    <n v="0"/>
    <n v="0"/>
    <e v="#N/A"/>
    <e v="#N/A"/>
    <e v="#N/A"/>
    <e v="#N/A"/>
    <e v="#N/A"/>
    <e v="#N/A"/>
    <e v="#N/A"/>
    <e v="#N/A"/>
    <e v="#N/A"/>
    <e v="#N/A"/>
    <n v="0"/>
    <n v="0"/>
    <n v="0"/>
    <n v="0"/>
    <n v="0"/>
    <n v="0"/>
    <n v="0"/>
    <n v="0"/>
    <n v="0"/>
    <n v="0"/>
    <n v="0"/>
    <x v="1"/>
  </r>
  <r>
    <x v="6"/>
    <x v="54"/>
    <n v="0"/>
    <n v="0"/>
    <e v="#N/A"/>
    <e v="#N/A"/>
    <e v="#N/A"/>
    <e v="#N/A"/>
    <e v="#N/A"/>
    <e v="#N/A"/>
    <e v="#N/A"/>
    <e v="#N/A"/>
    <e v="#N/A"/>
    <e v="#N/A"/>
    <n v="0"/>
    <n v="0"/>
    <n v="0"/>
    <n v="0"/>
    <n v="0"/>
    <n v="0"/>
    <n v="0"/>
    <n v="0"/>
    <n v="0"/>
    <n v="0"/>
    <n v="0"/>
    <x v="1"/>
  </r>
  <r>
    <x v="6"/>
    <x v="54"/>
    <n v="0"/>
    <n v="0"/>
    <e v="#N/A"/>
    <e v="#N/A"/>
    <e v="#N/A"/>
    <e v="#N/A"/>
    <e v="#N/A"/>
    <e v="#N/A"/>
    <e v="#N/A"/>
    <e v="#N/A"/>
    <e v="#N/A"/>
    <e v="#N/A"/>
    <n v="0"/>
    <n v="0"/>
    <n v="0"/>
    <n v="0"/>
    <n v="0"/>
    <n v="0"/>
    <n v="0"/>
    <n v="0"/>
    <n v="0"/>
    <n v="0"/>
    <n v="0"/>
    <x v="1"/>
  </r>
  <r>
    <x v="6"/>
    <x v="54"/>
    <n v="0"/>
    <s v="National-level"/>
    <e v="#N/A"/>
    <e v="#N/A"/>
    <e v="#N/A"/>
    <e v="#N/A"/>
    <e v="#N/A"/>
    <e v="#N/A"/>
    <e v="#N/A"/>
    <e v="#N/A"/>
    <e v="#N/A"/>
    <e v="#N/A"/>
    <n v="0"/>
    <n v="0"/>
    <n v="0"/>
    <n v="0"/>
    <n v="0"/>
    <n v="0"/>
    <n v="0"/>
    <n v="0"/>
    <n v="0"/>
    <n v="0"/>
    <n v="0"/>
    <x v="1"/>
  </r>
  <r>
    <x v="2"/>
    <x v="55"/>
    <s v="Health facilities (service delivery points)"/>
    <s v="Central"/>
    <n v="0"/>
    <n v="0"/>
    <n v="0"/>
    <n v="0"/>
    <n v="0"/>
    <n v="0"/>
    <n v="0"/>
    <n v="0"/>
    <n v="0"/>
    <n v="0"/>
    <n v="0"/>
    <n v="0"/>
    <n v="0"/>
    <n v="0"/>
    <n v="0"/>
    <n v="0"/>
    <n v="0"/>
    <n v="0"/>
    <n v="0"/>
    <n v="0"/>
    <n v="0"/>
    <x v="1"/>
  </r>
  <r>
    <x v="2"/>
    <x v="55"/>
    <s v="Health facilities (service delivery points)"/>
    <s v="Copperbelt"/>
    <n v="0"/>
    <n v="0"/>
    <n v="0"/>
    <n v="0"/>
    <n v="0"/>
    <n v="0"/>
    <n v="0"/>
    <n v="0"/>
    <n v="0"/>
    <n v="0"/>
    <n v="0"/>
    <n v="0"/>
    <n v="0"/>
    <n v="0"/>
    <n v="0"/>
    <n v="0"/>
    <n v="0"/>
    <n v="0"/>
    <n v="0"/>
    <n v="0"/>
    <n v="0"/>
    <x v="1"/>
  </r>
  <r>
    <x v="2"/>
    <x v="55"/>
    <s v="Health facilities (service delivery points)"/>
    <s v="Eastern"/>
    <n v="0"/>
    <n v="0"/>
    <n v="0"/>
    <n v="0"/>
    <n v="0"/>
    <n v="0"/>
    <n v="0"/>
    <n v="0"/>
    <n v="0"/>
    <n v="0"/>
    <n v="0"/>
    <n v="0"/>
    <n v="0"/>
    <n v="0"/>
    <n v="0"/>
    <n v="0"/>
    <n v="0"/>
    <n v="0"/>
    <n v="0"/>
    <n v="0"/>
    <n v="0"/>
    <x v="1"/>
  </r>
  <r>
    <x v="2"/>
    <x v="55"/>
    <s v="Health facilities (service delivery points)"/>
    <s v="Luapula"/>
    <n v="0"/>
    <n v="0"/>
    <n v="0"/>
    <n v="0"/>
    <n v="0"/>
    <n v="0"/>
    <n v="0"/>
    <n v="0"/>
    <n v="0"/>
    <n v="0"/>
    <n v="0"/>
    <n v="0"/>
    <n v="0"/>
    <n v="0"/>
    <n v="0"/>
    <n v="0"/>
    <n v="0"/>
    <n v="0"/>
    <n v="0"/>
    <n v="0"/>
    <n v="0"/>
    <x v="1"/>
  </r>
  <r>
    <x v="2"/>
    <x v="55"/>
    <s v="Health facilities (service delivery points)"/>
    <s v="Lusaka"/>
    <n v="0"/>
    <n v="0"/>
    <n v="0"/>
    <n v="0"/>
    <n v="0"/>
    <n v="0"/>
    <n v="0"/>
    <n v="0"/>
    <n v="0"/>
    <n v="0"/>
    <n v="0"/>
    <n v="0"/>
    <n v="0"/>
    <n v="0"/>
    <n v="0"/>
    <n v="0"/>
    <n v="0"/>
    <n v="0"/>
    <n v="0"/>
    <n v="0"/>
    <n v="0"/>
    <x v="1"/>
  </r>
  <r>
    <x v="2"/>
    <x v="55"/>
    <s v="Health facilities (service delivery points)"/>
    <s v="Muchinga"/>
    <n v="0"/>
    <n v="0"/>
    <n v="0"/>
    <n v="0"/>
    <n v="0"/>
    <n v="0"/>
    <n v="0"/>
    <n v="0"/>
    <n v="0"/>
    <n v="0"/>
    <n v="0"/>
    <n v="0"/>
    <n v="0"/>
    <n v="0"/>
    <n v="0"/>
    <n v="0"/>
    <n v="0"/>
    <n v="0"/>
    <n v="0"/>
    <n v="0"/>
    <n v="0"/>
    <x v="1"/>
  </r>
  <r>
    <x v="2"/>
    <x v="55"/>
    <s v="Health facilities (service delivery points)"/>
    <s v="Northern"/>
    <n v="0"/>
    <n v="0"/>
    <n v="0"/>
    <n v="0"/>
    <n v="0"/>
    <n v="0"/>
    <n v="0"/>
    <n v="0"/>
    <n v="0"/>
    <n v="0"/>
    <n v="0"/>
    <n v="0"/>
    <n v="0"/>
    <n v="0"/>
    <n v="0"/>
    <n v="0"/>
    <n v="0"/>
    <n v="0"/>
    <n v="0"/>
    <n v="0"/>
    <n v="0"/>
    <x v="1"/>
  </r>
  <r>
    <x v="2"/>
    <x v="55"/>
    <s v="Health facilities (service delivery points)"/>
    <s v="North Western"/>
    <n v="0"/>
    <n v="0"/>
    <n v="0"/>
    <n v="0"/>
    <n v="0"/>
    <n v="0"/>
    <n v="0"/>
    <n v="0"/>
    <n v="0"/>
    <n v="0"/>
    <n v="0"/>
    <n v="0"/>
    <n v="0"/>
    <n v="0"/>
    <n v="0"/>
    <n v="0"/>
    <n v="0"/>
    <n v="0"/>
    <n v="0"/>
    <n v="0"/>
    <n v="0"/>
    <x v="1"/>
  </r>
  <r>
    <x v="2"/>
    <x v="55"/>
    <s v="Health facilities (service delivery points)"/>
    <s v="Southern"/>
    <n v="0"/>
    <n v="0"/>
    <n v="0"/>
    <n v="0"/>
    <n v="0"/>
    <n v="0"/>
    <n v="0"/>
    <n v="0"/>
    <n v="0"/>
    <n v="0"/>
    <n v="0"/>
    <n v="0"/>
    <n v="0"/>
    <n v="0"/>
    <n v="0"/>
    <n v="0"/>
    <n v="0"/>
    <n v="0"/>
    <n v="0"/>
    <n v="0"/>
    <n v="0"/>
    <x v="1"/>
  </r>
  <r>
    <x v="2"/>
    <x v="55"/>
    <s v="Health facilities (service delivery points)"/>
    <s v="Western"/>
    <n v="0"/>
    <n v="0"/>
    <n v="0"/>
    <n v="0"/>
    <n v="0"/>
    <n v="0"/>
    <n v="0"/>
    <n v="0"/>
    <n v="0"/>
    <n v="0"/>
    <n v="0"/>
    <n v="0"/>
    <n v="0"/>
    <n v="0"/>
    <n v="0"/>
    <n v="0"/>
    <n v="0"/>
    <n v="0"/>
    <n v="0"/>
    <n v="0"/>
    <n v="0"/>
    <x v="1"/>
  </r>
  <r>
    <x v="2"/>
    <x v="55"/>
    <s v="Health facilities (service delivery points)"/>
    <n v="0"/>
    <n v="0"/>
    <n v="0"/>
    <n v="0"/>
    <n v="0"/>
    <n v="0"/>
    <n v="0"/>
    <n v="0"/>
    <n v="0"/>
    <n v="0"/>
    <n v="0"/>
    <n v="0"/>
    <n v="0"/>
    <n v="0"/>
    <n v="0"/>
    <n v="0"/>
    <n v="0"/>
    <n v="0"/>
    <n v="0"/>
    <n v="0"/>
    <n v="0"/>
    <n v="0"/>
    <x v="1"/>
  </r>
  <r>
    <x v="2"/>
    <x v="55"/>
    <s v="Health facilities (service delivery points)"/>
    <n v="0"/>
    <n v="0"/>
    <n v="0"/>
    <n v="0"/>
    <n v="0"/>
    <n v="0"/>
    <n v="0"/>
    <n v="0"/>
    <n v="0"/>
    <n v="0"/>
    <n v="0"/>
    <n v="0"/>
    <n v="0"/>
    <n v="0"/>
    <n v="0"/>
    <n v="0"/>
    <n v="0"/>
    <n v="0"/>
    <n v="0"/>
    <n v="0"/>
    <n v="0"/>
    <n v="0"/>
    <x v="1"/>
  </r>
  <r>
    <x v="2"/>
    <x v="55"/>
    <s v="Health facilities (service delivery points)"/>
    <n v="0"/>
    <n v="0"/>
    <n v="0"/>
    <n v="0"/>
    <n v="0"/>
    <n v="0"/>
    <n v="0"/>
    <n v="0"/>
    <n v="0"/>
    <n v="0"/>
    <n v="0"/>
    <n v="0"/>
    <n v="0"/>
    <n v="0"/>
    <n v="0"/>
    <n v="0"/>
    <n v="0"/>
    <n v="0"/>
    <n v="0"/>
    <n v="0"/>
    <n v="0"/>
    <n v="0"/>
    <x v="1"/>
  </r>
  <r>
    <x v="2"/>
    <x v="55"/>
    <s v="Health facilities (service delivery points)"/>
    <n v="0"/>
    <n v="0"/>
    <n v="0"/>
    <n v="0"/>
    <n v="0"/>
    <n v="0"/>
    <n v="0"/>
    <n v="0"/>
    <n v="0"/>
    <n v="0"/>
    <n v="0"/>
    <n v="0"/>
    <n v="0"/>
    <n v="0"/>
    <n v="0"/>
    <n v="0"/>
    <n v="0"/>
    <n v="0"/>
    <n v="0"/>
    <n v="0"/>
    <n v="0"/>
    <n v="0"/>
    <x v="1"/>
  </r>
  <r>
    <x v="2"/>
    <x v="55"/>
    <s v="Health facilities (service delivery points)"/>
    <n v="0"/>
    <n v="0"/>
    <n v="0"/>
    <n v="0"/>
    <n v="0"/>
    <n v="0"/>
    <n v="0"/>
    <n v="0"/>
    <n v="0"/>
    <n v="0"/>
    <n v="0"/>
    <n v="0"/>
    <n v="0"/>
    <n v="0"/>
    <n v="0"/>
    <n v="0"/>
    <n v="0"/>
    <n v="0"/>
    <n v="0"/>
    <n v="0"/>
    <n v="0"/>
    <n v="0"/>
    <x v="1"/>
  </r>
  <r>
    <x v="2"/>
    <x v="55"/>
    <s v="Health facilities (service delivery points)"/>
    <s v="National-level"/>
    <n v="0"/>
    <n v="0"/>
    <n v="0"/>
    <n v="0"/>
    <n v="0"/>
    <n v="0"/>
    <n v="0"/>
    <n v="0"/>
    <n v="0"/>
    <n v="0"/>
    <n v="0"/>
    <n v="0"/>
    <n v="0"/>
    <n v="0"/>
    <n v="0"/>
    <n v="0"/>
    <n v="0"/>
    <n v="0"/>
    <n v="0"/>
    <n v="0"/>
    <n v="0"/>
    <x v="1"/>
  </r>
  <r>
    <x v="2"/>
    <x v="56"/>
    <s v="Population"/>
    <s v="Central"/>
    <n v="0"/>
    <n v="0"/>
    <n v="0"/>
    <n v="0"/>
    <n v="0"/>
    <n v="0"/>
    <n v="0"/>
    <n v="0"/>
    <n v="0"/>
    <n v="0"/>
    <n v="0"/>
    <n v="0"/>
    <n v="0"/>
    <n v="0"/>
    <n v="0"/>
    <n v="0"/>
    <n v="0"/>
    <n v="0"/>
    <n v="0"/>
    <n v="0"/>
    <n v="0"/>
    <x v="1"/>
  </r>
  <r>
    <x v="2"/>
    <x v="56"/>
    <s v="Population"/>
    <s v="Copperbelt"/>
    <n v="0"/>
    <n v="0"/>
    <n v="0"/>
    <n v="0"/>
    <n v="0"/>
    <n v="0"/>
    <n v="0"/>
    <n v="0"/>
    <n v="0"/>
    <n v="0"/>
    <n v="0"/>
    <n v="0"/>
    <n v="0"/>
    <n v="0"/>
    <n v="0"/>
    <n v="0"/>
    <n v="0"/>
    <n v="0"/>
    <n v="0"/>
    <n v="0"/>
    <n v="0"/>
    <x v="1"/>
  </r>
  <r>
    <x v="2"/>
    <x v="56"/>
    <s v="Population"/>
    <s v="Eastern"/>
    <n v="0"/>
    <n v="0"/>
    <n v="0"/>
    <n v="0"/>
    <n v="0"/>
    <n v="0"/>
    <n v="0"/>
    <n v="0"/>
    <n v="0"/>
    <n v="0"/>
    <n v="0"/>
    <n v="0"/>
    <n v="0"/>
    <n v="0"/>
    <n v="0"/>
    <n v="0"/>
    <n v="0"/>
    <n v="0"/>
    <n v="0"/>
    <n v="0"/>
    <n v="0"/>
    <x v="1"/>
  </r>
  <r>
    <x v="2"/>
    <x v="56"/>
    <s v="Population"/>
    <s v="Luapula"/>
    <n v="0"/>
    <n v="0"/>
    <n v="0"/>
    <n v="0"/>
    <n v="0"/>
    <n v="0"/>
    <n v="0"/>
    <n v="0"/>
    <n v="0"/>
    <n v="0"/>
    <n v="0"/>
    <n v="0"/>
    <n v="0"/>
    <n v="0"/>
    <n v="0"/>
    <n v="0"/>
    <n v="0"/>
    <n v="0"/>
    <n v="0"/>
    <n v="0"/>
    <n v="0"/>
    <x v="1"/>
  </r>
  <r>
    <x v="2"/>
    <x v="56"/>
    <s v="Population"/>
    <s v="Lusaka"/>
    <n v="0"/>
    <n v="0"/>
    <n v="0"/>
    <n v="0"/>
    <n v="0"/>
    <n v="0"/>
    <n v="0"/>
    <n v="0"/>
    <n v="0"/>
    <n v="0"/>
    <n v="0"/>
    <n v="0"/>
    <n v="0"/>
    <n v="0"/>
    <n v="0"/>
    <n v="0"/>
    <n v="0"/>
    <n v="0"/>
    <n v="0"/>
    <n v="0"/>
    <n v="0"/>
    <x v="1"/>
  </r>
  <r>
    <x v="2"/>
    <x v="56"/>
    <s v="Population"/>
    <s v="Muchinga"/>
    <n v="0"/>
    <n v="0"/>
    <n v="0"/>
    <n v="0"/>
    <n v="0"/>
    <n v="0"/>
    <n v="0"/>
    <n v="0"/>
    <n v="0"/>
    <n v="0"/>
    <n v="0"/>
    <n v="0"/>
    <n v="0"/>
    <n v="0"/>
    <n v="0"/>
    <n v="0"/>
    <n v="0"/>
    <n v="0"/>
    <n v="0"/>
    <n v="0"/>
    <n v="0"/>
    <x v="1"/>
  </r>
  <r>
    <x v="2"/>
    <x v="56"/>
    <s v="Population"/>
    <s v="Northern"/>
    <n v="0"/>
    <n v="0"/>
    <n v="0"/>
    <n v="0"/>
    <n v="0"/>
    <n v="0"/>
    <n v="0"/>
    <n v="0"/>
    <n v="0"/>
    <n v="0"/>
    <n v="0"/>
    <n v="0"/>
    <n v="0"/>
    <n v="0"/>
    <n v="0"/>
    <n v="0"/>
    <n v="0"/>
    <n v="0"/>
    <n v="0"/>
    <n v="0"/>
    <n v="0"/>
    <x v="1"/>
  </r>
  <r>
    <x v="2"/>
    <x v="56"/>
    <s v="Population"/>
    <s v="North Western"/>
    <n v="0"/>
    <n v="0"/>
    <n v="0"/>
    <n v="0"/>
    <n v="0"/>
    <n v="0"/>
    <n v="0"/>
    <n v="0"/>
    <n v="0"/>
    <n v="0"/>
    <n v="0"/>
    <n v="0"/>
    <n v="0"/>
    <n v="0"/>
    <n v="0"/>
    <n v="0"/>
    <n v="0"/>
    <n v="0"/>
    <n v="0"/>
    <n v="0"/>
    <n v="0"/>
    <x v="1"/>
  </r>
  <r>
    <x v="2"/>
    <x v="56"/>
    <s v="Population"/>
    <s v="Southern"/>
    <n v="0"/>
    <n v="0"/>
    <n v="0"/>
    <n v="0"/>
    <n v="0"/>
    <n v="0"/>
    <n v="0"/>
    <n v="0"/>
    <n v="0"/>
    <n v="0"/>
    <n v="0"/>
    <n v="0"/>
    <n v="0"/>
    <n v="0"/>
    <n v="0"/>
    <n v="0"/>
    <n v="0"/>
    <n v="0"/>
    <n v="0"/>
    <n v="0"/>
    <n v="0"/>
    <x v="1"/>
  </r>
  <r>
    <x v="2"/>
    <x v="56"/>
    <s v="Population"/>
    <s v="Western"/>
    <n v="0"/>
    <n v="0"/>
    <n v="0"/>
    <n v="0"/>
    <n v="0"/>
    <n v="0"/>
    <n v="0"/>
    <n v="0"/>
    <n v="0"/>
    <n v="0"/>
    <n v="0"/>
    <n v="0"/>
    <n v="0"/>
    <n v="0"/>
    <n v="0"/>
    <n v="0"/>
    <n v="0"/>
    <n v="0"/>
    <n v="0"/>
    <n v="0"/>
    <n v="0"/>
    <x v="1"/>
  </r>
  <r>
    <x v="2"/>
    <x v="56"/>
    <s v="Population"/>
    <n v="0"/>
    <n v="0"/>
    <n v="0"/>
    <n v="0"/>
    <n v="0"/>
    <n v="0"/>
    <n v="0"/>
    <n v="0"/>
    <n v="0"/>
    <n v="0"/>
    <n v="0"/>
    <n v="0"/>
    <n v="0"/>
    <n v="0"/>
    <n v="0"/>
    <n v="0"/>
    <n v="0"/>
    <n v="0"/>
    <n v="0"/>
    <n v="0"/>
    <n v="0"/>
    <n v="0"/>
    <x v="1"/>
  </r>
  <r>
    <x v="2"/>
    <x v="56"/>
    <s v="Population"/>
    <n v="0"/>
    <n v="0"/>
    <n v="0"/>
    <n v="0"/>
    <n v="0"/>
    <n v="0"/>
    <n v="0"/>
    <n v="0"/>
    <n v="0"/>
    <n v="0"/>
    <n v="0"/>
    <n v="0"/>
    <n v="0"/>
    <n v="0"/>
    <n v="0"/>
    <n v="0"/>
    <n v="0"/>
    <n v="0"/>
    <n v="0"/>
    <n v="0"/>
    <n v="0"/>
    <n v="0"/>
    <x v="1"/>
  </r>
  <r>
    <x v="2"/>
    <x v="56"/>
    <s v="Population"/>
    <n v="0"/>
    <n v="0"/>
    <n v="0"/>
    <n v="0"/>
    <n v="0"/>
    <n v="0"/>
    <n v="0"/>
    <n v="0"/>
    <n v="0"/>
    <n v="0"/>
    <n v="0"/>
    <n v="0"/>
    <n v="0"/>
    <n v="0"/>
    <n v="0"/>
    <n v="0"/>
    <n v="0"/>
    <n v="0"/>
    <n v="0"/>
    <n v="0"/>
    <n v="0"/>
    <n v="0"/>
    <x v="1"/>
  </r>
  <r>
    <x v="2"/>
    <x v="56"/>
    <s v="Population"/>
    <n v="0"/>
    <n v="0"/>
    <n v="0"/>
    <n v="0"/>
    <n v="0"/>
    <n v="0"/>
    <n v="0"/>
    <n v="0"/>
    <n v="0"/>
    <n v="0"/>
    <n v="0"/>
    <n v="0"/>
    <n v="0"/>
    <n v="0"/>
    <n v="0"/>
    <n v="0"/>
    <n v="0"/>
    <n v="0"/>
    <n v="0"/>
    <n v="0"/>
    <n v="0"/>
    <n v="0"/>
    <x v="1"/>
  </r>
  <r>
    <x v="2"/>
    <x v="56"/>
    <s v="Population"/>
    <n v="0"/>
    <n v="0"/>
    <n v="0"/>
    <n v="0"/>
    <n v="0"/>
    <n v="0"/>
    <n v="0"/>
    <n v="0"/>
    <n v="0"/>
    <n v="0"/>
    <n v="0"/>
    <n v="0"/>
    <n v="0"/>
    <n v="0"/>
    <n v="0"/>
    <n v="0"/>
    <n v="0"/>
    <n v="0"/>
    <n v="0"/>
    <n v="0"/>
    <n v="0"/>
    <n v="0"/>
    <x v="1"/>
  </r>
  <r>
    <x v="2"/>
    <x v="56"/>
    <s v="Population"/>
    <s v="National-level"/>
    <n v="0"/>
    <n v="0"/>
    <n v="0"/>
    <n v="0"/>
    <n v="0"/>
    <n v="0"/>
    <n v="0"/>
    <n v="0"/>
    <n v="0"/>
    <n v="0"/>
    <n v="0"/>
    <n v="0"/>
    <n v="0"/>
    <n v="0"/>
    <n v="0"/>
    <n v="0"/>
    <n v="0"/>
    <n v="0"/>
    <n v="0"/>
    <n v="0"/>
    <n v="0"/>
    <x v="1"/>
  </r>
  <r>
    <x v="2"/>
    <x v="57"/>
    <s v="Central level"/>
    <s v="Central"/>
    <n v="0"/>
    <n v="0"/>
    <n v="0"/>
    <n v="0"/>
    <n v="0"/>
    <n v="0"/>
    <n v="0"/>
    <n v="0"/>
    <n v="0"/>
    <n v="0"/>
    <n v="0"/>
    <n v="0"/>
    <n v="0"/>
    <n v="0"/>
    <n v="0"/>
    <n v="0"/>
    <n v="0"/>
    <n v="0"/>
    <n v="0"/>
    <n v="0"/>
    <n v="0"/>
    <x v="6"/>
  </r>
  <r>
    <x v="2"/>
    <x v="57"/>
    <s v="Central level"/>
    <s v="Copperbelt"/>
    <n v="0"/>
    <n v="0"/>
    <n v="0"/>
    <n v="0"/>
    <n v="0"/>
    <n v="0"/>
    <n v="0"/>
    <n v="0"/>
    <n v="0"/>
    <n v="0"/>
    <n v="0"/>
    <n v="0"/>
    <n v="0"/>
    <n v="0"/>
    <n v="0"/>
    <n v="0"/>
    <n v="0"/>
    <n v="0"/>
    <n v="0"/>
    <n v="0"/>
    <n v="0"/>
    <x v="6"/>
  </r>
  <r>
    <x v="2"/>
    <x v="57"/>
    <s v="Central level"/>
    <s v="Eastern"/>
    <n v="0"/>
    <n v="0"/>
    <n v="0"/>
    <n v="0"/>
    <n v="0"/>
    <n v="0"/>
    <n v="0"/>
    <n v="0"/>
    <n v="0"/>
    <n v="0"/>
    <n v="0"/>
    <n v="0"/>
    <n v="0"/>
    <n v="0"/>
    <n v="0"/>
    <n v="0"/>
    <n v="0"/>
    <n v="0"/>
    <n v="0"/>
    <n v="0"/>
    <n v="0"/>
    <x v="6"/>
  </r>
  <r>
    <x v="2"/>
    <x v="57"/>
    <s v="Central level"/>
    <s v="Luapula"/>
    <n v="0"/>
    <n v="0"/>
    <n v="0"/>
    <n v="0"/>
    <n v="0"/>
    <n v="0"/>
    <n v="0"/>
    <n v="0"/>
    <n v="0"/>
    <n v="0"/>
    <n v="0"/>
    <n v="0"/>
    <n v="0"/>
    <n v="0"/>
    <n v="0"/>
    <n v="0"/>
    <n v="0"/>
    <n v="0"/>
    <n v="0"/>
    <n v="0"/>
    <n v="0"/>
    <x v="6"/>
  </r>
  <r>
    <x v="2"/>
    <x v="57"/>
    <s v="Central level"/>
    <s v="Lusaka"/>
    <n v="0"/>
    <n v="0"/>
    <n v="0"/>
    <n v="0"/>
    <n v="0"/>
    <n v="0"/>
    <n v="0"/>
    <n v="0"/>
    <n v="0"/>
    <n v="0"/>
    <n v="0"/>
    <n v="0"/>
    <n v="0"/>
    <n v="0"/>
    <n v="0"/>
    <n v="0"/>
    <n v="0"/>
    <n v="0"/>
    <n v="0"/>
    <n v="0"/>
    <n v="0"/>
    <x v="6"/>
  </r>
  <r>
    <x v="2"/>
    <x v="57"/>
    <s v="Central level"/>
    <s v="Muchinga"/>
    <n v="0"/>
    <n v="0"/>
    <n v="0"/>
    <n v="0"/>
    <n v="0"/>
    <n v="0"/>
    <n v="0"/>
    <n v="0"/>
    <n v="0"/>
    <n v="0"/>
    <n v="0"/>
    <n v="0"/>
    <n v="0"/>
    <n v="0"/>
    <n v="0"/>
    <n v="0"/>
    <n v="0"/>
    <n v="0"/>
    <n v="0"/>
    <n v="0"/>
    <n v="0"/>
    <x v="6"/>
  </r>
  <r>
    <x v="2"/>
    <x v="57"/>
    <s v="Central level"/>
    <s v="Northern"/>
    <n v="0"/>
    <n v="0"/>
    <n v="0"/>
    <n v="0"/>
    <n v="0"/>
    <n v="0"/>
    <n v="0"/>
    <n v="0"/>
    <n v="0"/>
    <n v="0"/>
    <n v="0"/>
    <n v="0"/>
    <n v="0"/>
    <n v="0"/>
    <n v="0"/>
    <n v="0"/>
    <n v="0"/>
    <n v="0"/>
    <n v="0"/>
    <n v="0"/>
    <n v="0"/>
    <x v="6"/>
  </r>
  <r>
    <x v="2"/>
    <x v="57"/>
    <s v="Central level"/>
    <s v="North Western"/>
    <n v="0"/>
    <n v="0"/>
    <n v="0"/>
    <n v="0"/>
    <n v="0"/>
    <n v="0"/>
    <n v="0"/>
    <n v="0"/>
    <n v="0"/>
    <n v="0"/>
    <n v="0"/>
    <n v="0"/>
    <n v="0"/>
    <n v="0"/>
    <n v="0"/>
    <n v="0"/>
    <n v="0"/>
    <n v="0"/>
    <n v="0"/>
    <n v="0"/>
    <n v="0"/>
    <x v="6"/>
  </r>
  <r>
    <x v="2"/>
    <x v="57"/>
    <s v="Central level"/>
    <s v="Southern"/>
    <n v="0"/>
    <n v="0"/>
    <n v="0"/>
    <n v="0"/>
    <n v="0"/>
    <n v="0"/>
    <n v="0"/>
    <n v="0"/>
    <n v="0"/>
    <n v="0"/>
    <n v="0"/>
    <n v="0"/>
    <n v="0"/>
    <n v="0"/>
    <n v="0"/>
    <n v="0"/>
    <n v="0"/>
    <n v="0"/>
    <n v="0"/>
    <n v="0"/>
    <n v="0"/>
    <x v="6"/>
  </r>
  <r>
    <x v="2"/>
    <x v="57"/>
    <s v="Central level"/>
    <s v="Western"/>
    <n v="0"/>
    <n v="0"/>
    <n v="0"/>
    <n v="0"/>
    <n v="0"/>
    <n v="0"/>
    <n v="0"/>
    <n v="0"/>
    <n v="0"/>
    <n v="0"/>
    <n v="0"/>
    <n v="0"/>
    <n v="0"/>
    <n v="0"/>
    <n v="0"/>
    <n v="0"/>
    <n v="0"/>
    <n v="0"/>
    <n v="0"/>
    <n v="0"/>
    <n v="0"/>
    <x v="6"/>
  </r>
  <r>
    <x v="2"/>
    <x v="57"/>
    <s v="Central level"/>
    <n v="0"/>
    <n v="0"/>
    <n v="0"/>
    <n v="0"/>
    <n v="0"/>
    <n v="0"/>
    <n v="0"/>
    <n v="0"/>
    <n v="0"/>
    <n v="0"/>
    <n v="0"/>
    <n v="0"/>
    <n v="0"/>
    <n v="0"/>
    <n v="0"/>
    <n v="0"/>
    <n v="0"/>
    <n v="0"/>
    <n v="0"/>
    <n v="0"/>
    <n v="0"/>
    <n v="0"/>
    <x v="6"/>
  </r>
  <r>
    <x v="2"/>
    <x v="57"/>
    <s v="Central level"/>
    <n v="0"/>
    <n v="0"/>
    <n v="0"/>
    <n v="0"/>
    <n v="0"/>
    <n v="0"/>
    <n v="0"/>
    <n v="0"/>
    <n v="0"/>
    <n v="0"/>
    <n v="0"/>
    <n v="0"/>
    <n v="0"/>
    <n v="0"/>
    <n v="0"/>
    <n v="0"/>
    <n v="0"/>
    <n v="0"/>
    <n v="0"/>
    <n v="0"/>
    <n v="0"/>
    <n v="0"/>
    <x v="6"/>
  </r>
  <r>
    <x v="2"/>
    <x v="57"/>
    <s v="Central level"/>
    <n v="0"/>
    <n v="0"/>
    <n v="0"/>
    <n v="0"/>
    <n v="0"/>
    <n v="0"/>
    <n v="0"/>
    <n v="0"/>
    <n v="0"/>
    <n v="0"/>
    <n v="0"/>
    <n v="0"/>
    <n v="0"/>
    <n v="0"/>
    <n v="0"/>
    <n v="0"/>
    <n v="0"/>
    <n v="0"/>
    <n v="0"/>
    <n v="0"/>
    <n v="0"/>
    <n v="0"/>
    <x v="6"/>
  </r>
  <r>
    <x v="2"/>
    <x v="57"/>
    <s v="Central level"/>
    <n v="0"/>
    <n v="0"/>
    <n v="0"/>
    <n v="0"/>
    <n v="0"/>
    <n v="0"/>
    <n v="0"/>
    <n v="0"/>
    <n v="0"/>
    <n v="0"/>
    <n v="0"/>
    <n v="0"/>
    <n v="0"/>
    <n v="0"/>
    <n v="0"/>
    <n v="0"/>
    <n v="0"/>
    <n v="0"/>
    <n v="0"/>
    <n v="0"/>
    <n v="0"/>
    <n v="0"/>
    <x v="6"/>
  </r>
  <r>
    <x v="2"/>
    <x v="57"/>
    <s v="Central level"/>
    <n v="0"/>
    <n v="0"/>
    <n v="0"/>
    <n v="0"/>
    <n v="0"/>
    <n v="0"/>
    <n v="0"/>
    <n v="0"/>
    <n v="0"/>
    <n v="0"/>
    <n v="0"/>
    <n v="0"/>
    <n v="0"/>
    <n v="0"/>
    <n v="0"/>
    <n v="0"/>
    <n v="0"/>
    <n v="0"/>
    <n v="0"/>
    <n v="0"/>
    <n v="0"/>
    <n v="0"/>
    <x v="6"/>
  </r>
  <r>
    <x v="2"/>
    <x v="57"/>
    <s v="Central level"/>
    <s v="National-level"/>
    <n v="8250"/>
    <n v="8250"/>
    <n v="8250"/>
    <n v="8250"/>
    <n v="8250"/>
    <n v="8250"/>
    <n v="8250"/>
    <n v="8250"/>
    <n v="0"/>
    <n v="0"/>
    <n v="66000"/>
    <n v="8250"/>
    <n v="8250"/>
    <n v="8250"/>
    <n v="8250"/>
    <n v="8250"/>
    <n v="8250"/>
    <n v="8250"/>
    <n v="8250"/>
    <n v="0"/>
    <n v="0"/>
    <x v="6"/>
  </r>
  <r>
    <x v="2"/>
    <x v="58"/>
    <s v="Health facilities (service delivery points)"/>
    <s v="Central"/>
    <n v="1146706.5534915256"/>
    <n v="1146706.5534915256"/>
    <n v="1146706.5534915256"/>
    <n v="1146706.5534915256"/>
    <n v="1146706.5534915256"/>
    <n v="1146706.5534915256"/>
    <n v="1146706.5534915256"/>
    <n v="1146706.5534915256"/>
    <n v="0"/>
    <n v="0"/>
    <n v="9173652.4279322047"/>
    <n v="1146706.5534915256"/>
    <n v="1146706.5534915256"/>
    <n v="1146706.5534915256"/>
    <n v="1146706.5534915256"/>
    <n v="1146706.5534915256"/>
    <n v="1146706.5534915256"/>
    <n v="1146706.5534915256"/>
    <n v="1146706.5534915256"/>
    <n v="0"/>
    <n v="0"/>
    <x v="1"/>
  </r>
  <r>
    <x v="2"/>
    <x v="58"/>
    <s v="Health facilities (service delivery points)"/>
    <s v="Copperbelt"/>
    <n v="1369677.2722259888"/>
    <n v="1369677.2722259888"/>
    <n v="1369677.2722259888"/>
    <n v="1369677.2722259888"/>
    <n v="1369677.2722259888"/>
    <n v="1369677.2722259888"/>
    <n v="1369677.2722259888"/>
    <n v="1369677.2722259888"/>
    <n v="0"/>
    <n v="0"/>
    <n v="10957418.17780791"/>
    <n v="1369677.2722259888"/>
    <n v="1369677.2722259888"/>
    <n v="1369677.2722259888"/>
    <n v="1369677.2722259888"/>
    <n v="1369677.2722259888"/>
    <n v="1369677.2722259888"/>
    <n v="1369677.2722259888"/>
    <n v="1369677.2722259888"/>
    <n v="0"/>
    <n v="0"/>
    <x v="1"/>
  </r>
  <r>
    <x v="2"/>
    <x v="58"/>
    <s v="Health facilities (service delivery points)"/>
    <s v="Eastern"/>
    <n v="1248636.0249129944"/>
    <n v="1248636.0249129944"/>
    <n v="1248636.0249129944"/>
    <n v="1248636.0249129944"/>
    <n v="1248636.0249129944"/>
    <n v="1248636.0249129944"/>
    <n v="1248636.0249129944"/>
    <n v="1248636.0249129944"/>
    <n v="0"/>
    <n v="0"/>
    <n v="9989088.1993039548"/>
    <n v="1248636.0249129944"/>
    <n v="1248636.0249129944"/>
    <n v="1248636.0249129944"/>
    <n v="1248636.0249129944"/>
    <n v="1248636.0249129944"/>
    <n v="1248636.0249129944"/>
    <n v="1248636.0249129944"/>
    <n v="1248636.0249129944"/>
    <n v="0"/>
    <n v="0"/>
    <x v="1"/>
  </r>
  <r>
    <x v="2"/>
    <x v="58"/>
    <s v="Health facilities (service delivery points)"/>
    <s v="Luapula"/>
    <n v="866400.50708248594"/>
    <n v="866400.50708248594"/>
    <n v="866400.50708248594"/>
    <n v="866400.50708248594"/>
    <n v="866400.50708248594"/>
    <n v="866400.50708248594"/>
    <n v="866400.50708248594"/>
    <n v="866400.50708248594"/>
    <n v="0"/>
    <n v="0"/>
    <n v="6931204.0566598866"/>
    <n v="866400.50708248594"/>
    <n v="866400.50708248594"/>
    <n v="866400.50708248594"/>
    <n v="866400.50708248594"/>
    <n v="866400.50708248594"/>
    <n v="866400.50708248594"/>
    <n v="866400.50708248594"/>
    <n v="866400.50708248594"/>
    <n v="0"/>
    <n v="0"/>
    <x v="1"/>
  </r>
  <r>
    <x v="2"/>
    <x v="58"/>
    <s v="Health facilities (service delivery points)"/>
    <s v="Lusaka"/>
    <n v="1662724.5025627119"/>
    <n v="1662724.5025627119"/>
    <n v="1662724.5025627119"/>
    <n v="1662724.5025627119"/>
    <n v="1662724.5025627119"/>
    <n v="1662724.5025627119"/>
    <n v="1662724.5025627119"/>
    <n v="1662724.5025627119"/>
    <n v="0"/>
    <n v="0"/>
    <n v="13301796.020501696"/>
    <n v="1662724.5025627119"/>
    <n v="1662724.5025627119"/>
    <n v="1662724.5025627119"/>
    <n v="1662724.5025627119"/>
    <n v="1662724.5025627119"/>
    <n v="1662724.5025627119"/>
    <n v="1662724.5025627119"/>
    <n v="1662724.5025627119"/>
    <n v="0"/>
    <n v="0"/>
    <x v="1"/>
  </r>
  <r>
    <x v="2"/>
    <x v="58"/>
    <s v="Health facilities (service delivery points)"/>
    <s v="Muchinga"/>
    <n v="598835.64460112993"/>
    <n v="598835.64460112993"/>
    <n v="598835.64460112993"/>
    <n v="598835.64460112993"/>
    <n v="598835.64460112993"/>
    <n v="598835.64460112993"/>
    <n v="598835.64460112993"/>
    <n v="598835.64460112993"/>
    <n v="0"/>
    <n v="0"/>
    <n v="4790685.1568090394"/>
    <n v="598835.64460112993"/>
    <n v="598835.64460112993"/>
    <n v="598835.64460112993"/>
    <n v="598835.64460112993"/>
    <n v="598835.64460112993"/>
    <n v="598835.64460112993"/>
    <n v="598835.64460112993"/>
    <n v="598835.64460112993"/>
    <n v="0"/>
    <n v="0"/>
    <x v="1"/>
  </r>
  <r>
    <x v="2"/>
    <x v="58"/>
    <s v="Health facilities (service delivery points)"/>
    <s v="Northern"/>
    <n v="860029.91511864413"/>
    <n v="860029.91511864413"/>
    <n v="860029.91511864413"/>
    <n v="860029.91511864413"/>
    <n v="860029.91511864413"/>
    <n v="860029.91511864413"/>
    <n v="860029.91511864413"/>
    <n v="860029.91511864413"/>
    <n v="0"/>
    <n v="0"/>
    <n v="6880239.320949153"/>
    <n v="860029.91511864413"/>
    <n v="860029.91511864413"/>
    <n v="860029.91511864413"/>
    <n v="860029.91511864413"/>
    <n v="860029.91511864413"/>
    <n v="860029.91511864413"/>
    <n v="860029.91511864413"/>
    <n v="860029.91511864413"/>
    <n v="0"/>
    <n v="0"/>
    <x v="1"/>
  </r>
  <r>
    <x v="2"/>
    <x v="58"/>
    <s v="Health facilities (service delivery points)"/>
    <s v="North Western"/>
    <n v="987441.75439548027"/>
    <n v="987441.75439548027"/>
    <n v="987441.75439548027"/>
    <n v="987441.75439548027"/>
    <n v="987441.75439548027"/>
    <n v="987441.75439548027"/>
    <n v="987441.75439548027"/>
    <n v="987441.75439548027"/>
    <n v="0"/>
    <n v="0"/>
    <n v="7899534.0351638421"/>
    <n v="987441.75439548027"/>
    <n v="987441.75439548027"/>
    <n v="987441.75439548027"/>
    <n v="987441.75439548027"/>
    <n v="987441.75439548027"/>
    <n v="987441.75439548027"/>
    <n v="987441.75439548027"/>
    <n v="987441.75439548027"/>
    <n v="0"/>
    <n v="0"/>
    <x v="1"/>
  </r>
  <r>
    <x v="2"/>
    <x v="58"/>
    <s v="Health facilities (service delivery points)"/>
    <s v="Southern"/>
    <n v="1516200.8873943503"/>
    <n v="1516200.8873943503"/>
    <n v="1516200.8873943503"/>
    <n v="1516200.8873943503"/>
    <n v="1516200.8873943503"/>
    <n v="1516200.8873943503"/>
    <n v="1516200.8873943503"/>
    <n v="1516200.8873943503"/>
    <n v="0"/>
    <n v="0"/>
    <n v="12129607.099154802"/>
    <n v="1516200.8873943503"/>
    <n v="1516200.8873943503"/>
    <n v="1516200.8873943503"/>
    <n v="1516200.8873943503"/>
    <n v="1516200.8873943503"/>
    <n v="1516200.8873943503"/>
    <n v="1516200.8873943503"/>
    <n v="1516200.8873943503"/>
    <n v="0"/>
    <n v="0"/>
    <x v="1"/>
  </r>
  <r>
    <x v="2"/>
    <x v="58"/>
    <s v="Health facilities (service delivery points)"/>
    <s v="Western"/>
    <n v="1019294.7142146893"/>
    <n v="1019294.7142146893"/>
    <n v="1019294.7142146893"/>
    <n v="1019294.7142146893"/>
    <n v="1019294.7142146893"/>
    <n v="1019294.7142146893"/>
    <n v="1019294.7142146893"/>
    <n v="1019294.7142146893"/>
    <n v="0"/>
    <n v="0"/>
    <n v="8154357.7137175137"/>
    <n v="1019294.7142146893"/>
    <n v="1019294.7142146893"/>
    <n v="1019294.7142146893"/>
    <n v="1019294.7142146893"/>
    <n v="1019294.7142146893"/>
    <n v="1019294.7142146893"/>
    <n v="1019294.7142146893"/>
    <n v="1019294.7142146893"/>
    <n v="0"/>
    <n v="0"/>
    <x v="1"/>
  </r>
  <r>
    <x v="2"/>
    <x v="58"/>
    <s v="Health facilities (service delivery points)"/>
    <n v="0"/>
    <n v="0"/>
    <n v="0"/>
    <n v="0"/>
    <n v="0"/>
    <n v="0"/>
    <n v="0"/>
    <n v="0"/>
    <n v="0"/>
    <n v="0"/>
    <n v="0"/>
    <n v="0"/>
    <n v="0"/>
    <n v="0"/>
    <n v="0"/>
    <n v="0"/>
    <n v="0"/>
    <n v="0"/>
    <n v="0"/>
    <n v="0"/>
    <n v="0"/>
    <n v="0"/>
    <x v="1"/>
  </r>
  <r>
    <x v="2"/>
    <x v="58"/>
    <s v="Health facilities (service delivery points)"/>
    <n v="0"/>
    <n v="0"/>
    <n v="0"/>
    <n v="0"/>
    <n v="0"/>
    <n v="0"/>
    <n v="0"/>
    <n v="0"/>
    <n v="0"/>
    <n v="0"/>
    <n v="0"/>
    <n v="0"/>
    <n v="0"/>
    <n v="0"/>
    <n v="0"/>
    <n v="0"/>
    <n v="0"/>
    <n v="0"/>
    <n v="0"/>
    <n v="0"/>
    <n v="0"/>
    <n v="0"/>
    <x v="1"/>
  </r>
  <r>
    <x v="2"/>
    <x v="58"/>
    <s v="Health facilities (service delivery points)"/>
    <n v="0"/>
    <n v="0"/>
    <n v="0"/>
    <n v="0"/>
    <n v="0"/>
    <n v="0"/>
    <n v="0"/>
    <n v="0"/>
    <n v="0"/>
    <n v="0"/>
    <n v="0"/>
    <n v="0"/>
    <n v="0"/>
    <n v="0"/>
    <n v="0"/>
    <n v="0"/>
    <n v="0"/>
    <n v="0"/>
    <n v="0"/>
    <n v="0"/>
    <n v="0"/>
    <n v="0"/>
    <x v="1"/>
  </r>
  <r>
    <x v="2"/>
    <x v="58"/>
    <s v="Health facilities (service delivery points)"/>
    <n v="0"/>
    <n v="0"/>
    <n v="0"/>
    <n v="0"/>
    <n v="0"/>
    <n v="0"/>
    <n v="0"/>
    <n v="0"/>
    <n v="0"/>
    <n v="0"/>
    <n v="0"/>
    <n v="0"/>
    <n v="0"/>
    <n v="0"/>
    <n v="0"/>
    <n v="0"/>
    <n v="0"/>
    <n v="0"/>
    <n v="0"/>
    <n v="0"/>
    <n v="0"/>
    <n v="0"/>
    <x v="1"/>
  </r>
  <r>
    <x v="2"/>
    <x v="58"/>
    <s v="Health facilities (service delivery points)"/>
    <n v="0"/>
    <n v="0"/>
    <n v="0"/>
    <n v="0"/>
    <n v="0"/>
    <n v="0"/>
    <n v="0"/>
    <n v="0"/>
    <n v="0"/>
    <n v="0"/>
    <n v="0"/>
    <n v="0"/>
    <n v="0"/>
    <n v="0"/>
    <n v="0"/>
    <n v="0"/>
    <n v="0"/>
    <n v="0"/>
    <n v="0"/>
    <n v="0"/>
    <n v="0"/>
    <n v="0"/>
    <x v="1"/>
  </r>
  <r>
    <x v="2"/>
    <x v="58"/>
    <s v="Health facilities (service delivery points)"/>
    <s v="National-level"/>
    <n v="0"/>
    <n v="0"/>
    <n v="0"/>
    <n v="0"/>
    <n v="0"/>
    <n v="0"/>
    <n v="0"/>
    <n v="0"/>
    <n v="0"/>
    <n v="0"/>
    <n v="0"/>
    <n v="0"/>
    <n v="0"/>
    <n v="0"/>
    <n v="0"/>
    <n v="0"/>
    <n v="0"/>
    <n v="0"/>
    <n v="0"/>
    <n v="0"/>
    <n v="0"/>
    <x v="1"/>
  </r>
  <r>
    <x v="2"/>
    <x v="59"/>
    <s v="Evenly by province/region"/>
    <s v="Central"/>
    <n v="0"/>
    <n v="372960.30240000004"/>
    <n v="0"/>
    <n v="372960.30240000004"/>
    <n v="0"/>
    <n v="372960.30240000004"/>
    <n v="0"/>
    <n v="0"/>
    <n v="0"/>
    <n v="0"/>
    <n v="1118880.9072000002"/>
    <n v="0"/>
    <n v="372960.30240000004"/>
    <n v="0"/>
    <n v="372960.30240000004"/>
    <n v="0"/>
    <n v="372960.30240000004"/>
    <n v="0"/>
    <n v="0"/>
    <n v="0"/>
    <n v="0"/>
    <x v="6"/>
  </r>
  <r>
    <x v="2"/>
    <x v="59"/>
    <s v="Evenly by province/region"/>
    <s v="Copperbelt"/>
    <n v="0"/>
    <n v="372960.30240000004"/>
    <n v="0"/>
    <n v="372960.30240000004"/>
    <n v="0"/>
    <n v="372960.30240000004"/>
    <n v="0"/>
    <n v="0"/>
    <n v="0"/>
    <n v="0"/>
    <n v="1118880.9072000002"/>
    <n v="0"/>
    <n v="372960.30240000004"/>
    <n v="0"/>
    <n v="372960.30240000004"/>
    <n v="0"/>
    <n v="372960.30240000004"/>
    <n v="0"/>
    <n v="0"/>
    <n v="0"/>
    <n v="0"/>
    <x v="6"/>
  </r>
  <r>
    <x v="2"/>
    <x v="59"/>
    <s v="Evenly by province/region"/>
    <s v="Eastern"/>
    <n v="0"/>
    <n v="372960.30240000004"/>
    <n v="0"/>
    <n v="372960.30240000004"/>
    <n v="0"/>
    <n v="372960.30240000004"/>
    <n v="0"/>
    <n v="0"/>
    <n v="0"/>
    <n v="0"/>
    <n v="1118880.9072000002"/>
    <n v="0"/>
    <n v="372960.30240000004"/>
    <n v="0"/>
    <n v="372960.30240000004"/>
    <n v="0"/>
    <n v="372960.30240000004"/>
    <n v="0"/>
    <n v="0"/>
    <n v="0"/>
    <n v="0"/>
    <x v="6"/>
  </r>
  <r>
    <x v="2"/>
    <x v="59"/>
    <s v="Evenly by province/region"/>
    <s v="Luapula"/>
    <n v="0"/>
    <n v="372960.30240000004"/>
    <n v="0"/>
    <n v="372960.30240000004"/>
    <n v="0"/>
    <n v="372960.30240000004"/>
    <n v="0"/>
    <n v="0"/>
    <n v="0"/>
    <n v="0"/>
    <n v="1118880.9072000002"/>
    <n v="0"/>
    <n v="372960.30240000004"/>
    <n v="0"/>
    <n v="372960.30240000004"/>
    <n v="0"/>
    <n v="372960.30240000004"/>
    <n v="0"/>
    <n v="0"/>
    <n v="0"/>
    <n v="0"/>
    <x v="6"/>
  </r>
  <r>
    <x v="2"/>
    <x v="59"/>
    <s v="Evenly by province/region"/>
    <s v="Lusaka"/>
    <n v="0"/>
    <n v="372960.30240000004"/>
    <n v="0"/>
    <n v="372960.30240000004"/>
    <n v="0"/>
    <n v="372960.30240000004"/>
    <n v="0"/>
    <n v="0"/>
    <n v="0"/>
    <n v="0"/>
    <n v="1118880.9072000002"/>
    <n v="0"/>
    <n v="372960.30240000004"/>
    <n v="0"/>
    <n v="372960.30240000004"/>
    <n v="0"/>
    <n v="372960.30240000004"/>
    <n v="0"/>
    <n v="0"/>
    <n v="0"/>
    <n v="0"/>
    <x v="6"/>
  </r>
  <r>
    <x v="2"/>
    <x v="59"/>
    <s v="Evenly by province/region"/>
    <s v="Muchinga"/>
    <n v="0"/>
    <n v="372960.30240000004"/>
    <n v="0"/>
    <n v="372960.30240000004"/>
    <n v="0"/>
    <n v="372960.30240000004"/>
    <n v="0"/>
    <n v="0"/>
    <n v="0"/>
    <n v="0"/>
    <n v="1118880.9072000002"/>
    <n v="0"/>
    <n v="372960.30240000004"/>
    <n v="0"/>
    <n v="372960.30240000004"/>
    <n v="0"/>
    <n v="372960.30240000004"/>
    <n v="0"/>
    <n v="0"/>
    <n v="0"/>
    <n v="0"/>
    <x v="6"/>
  </r>
  <r>
    <x v="2"/>
    <x v="59"/>
    <s v="Evenly by province/region"/>
    <s v="Northern"/>
    <n v="0"/>
    <n v="372960.30240000004"/>
    <n v="0"/>
    <n v="372960.30240000004"/>
    <n v="0"/>
    <n v="372960.30240000004"/>
    <n v="0"/>
    <n v="0"/>
    <n v="0"/>
    <n v="0"/>
    <n v="1118880.9072000002"/>
    <n v="0"/>
    <n v="372960.30240000004"/>
    <n v="0"/>
    <n v="372960.30240000004"/>
    <n v="0"/>
    <n v="372960.30240000004"/>
    <n v="0"/>
    <n v="0"/>
    <n v="0"/>
    <n v="0"/>
    <x v="6"/>
  </r>
  <r>
    <x v="2"/>
    <x v="59"/>
    <s v="Evenly by province/region"/>
    <s v="North Western"/>
    <n v="0"/>
    <n v="372960.30240000004"/>
    <n v="0"/>
    <n v="372960.30240000004"/>
    <n v="0"/>
    <n v="372960.30240000004"/>
    <n v="0"/>
    <n v="0"/>
    <n v="0"/>
    <n v="0"/>
    <n v="1118880.9072000002"/>
    <n v="0"/>
    <n v="372960.30240000004"/>
    <n v="0"/>
    <n v="372960.30240000004"/>
    <n v="0"/>
    <n v="372960.30240000004"/>
    <n v="0"/>
    <n v="0"/>
    <n v="0"/>
    <n v="0"/>
    <x v="6"/>
  </r>
  <r>
    <x v="2"/>
    <x v="59"/>
    <s v="Evenly by province/region"/>
    <s v="Southern"/>
    <n v="0"/>
    <n v="372960.30240000004"/>
    <n v="0"/>
    <n v="372960.30240000004"/>
    <n v="0"/>
    <n v="372960.30240000004"/>
    <n v="0"/>
    <n v="0"/>
    <n v="0"/>
    <n v="0"/>
    <n v="1118880.9072000002"/>
    <n v="0"/>
    <n v="372960.30240000004"/>
    <n v="0"/>
    <n v="372960.30240000004"/>
    <n v="0"/>
    <n v="372960.30240000004"/>
    <n v="0"/>
    <n v="0"/>
    <n v="0"/>
    <n v="0"/>
    <x v="6"/>
  </r>
  <r>
    <x v="2"/>
    <x v="59"/>
    <s v="Evenly by province/region"/>
    <s v="Western"/>
    <n v="0"/>
    <n v="372960.30240000004"/>
    <n v="0"/>
    <n v="372960.30240000004"/>
    <n v="0"/>
    <n v="372960.30240000004"/>
    <n v="0"/>
    <n v="0"/>
    <n v="0"/>
    <n v="0"/>
    <n v="1118880.9072000002"/>
    <n v="0"/>
    <n v="372960.30240000004"/>
    <n v="0"/>
    <n v="372960.30240000004"/>
    <n v="0"/>
    <n v="372960.30240000004"/>
    <n v="0"/>
    <n v="0"/>
    <n v="0"/>
    <n v="0"/>
    <x v="6"/>
  </r>
  <r>
    <x v="2"/>
    <x v="59"/>
    <s v="Evenly by province/region"/>
    <n v="0"/>
    <n v="0"/>
    <n v="0"/>
    <n v="0"/>
    <n v="0"/>
    <n v="0"/>
    <n v="0"/>
    <n v="0"/>
    <n v="0"/>
    <n v="0"/>
    <n v="0"/>
    <n v="0"/>
    <n v="0"/>
    <n v="0"/>
    <n v="0"/>
    <n v="0"/>
    <n v="0"/>
    <n v="0"/>
    <n v="0"/>
    <n v="0"/>
    <n v="0"/>
    <n v="0"/>
    <x v="6"/>
  </r>
  <r>
    <x v="2"/>
    <x v="59"/>
    <s v="Evenly by province/region"/>
    <n v="0"/>
    <n v="0"/>
    <n v="0"/>
    <n v="0"/>
    <n v="0"/>
    <n v="0"/>
    <n v="0"/>
    <n v="0"/>
    <n v="0"/>
    <n v="0"/>
    <n v="0"/>
    <n v="0"/>
    <n v="0"/>
    <n v="0"/>
    <n v="0"/>
    <n v="0"/>
    <n v="0"/>
    <n v="0"/>
    <n v="0"/>
    <n v="0"/>
    <n v="0"/>
    <n v="0"/>
    <x v="6"/>
  </r>
  <r>
    <x v="2"/>
    <x v="59"/>
    <s v="Evenly by province/region"/>
    <n v="0"/>
    <n v="0"/>
    <n v="0"/>
    <n v="0"/>
    <n v="0"/>
    <n v="0"/>
    <n v="0"/>
    <n v="0"/>
    <n v="0"/>
    <n v="0"/>
    <n v="0"/>
    <n v="0"/>
    <n v="0"/>
    <n v="0"/>
    <n v="0"/>
    <n v="0"/>
    <n v="0"/>
    <n v="0"/>
    <n v="0"/>
    <n v="0"/>
    <n v="0"/>
    <n v="0"/>
    <x v="6"/>
  </r>
  <r>
    <x v="2"/>
    <x v="59"/>
    <s v="Evenly by province/region"/>
    <n v="0"/>
    <n v="0"/>
    <n v="0"/>
    <n v="0"/>
    <n v="0"/>
    <n v="0"/>
    <n v="0"/>
    <n v="0"/>
    <n v="0"/>
    <n v="0"/>
    <n v="0"/>
    <n v="0"/>
    <n v="0"/>
    <n v="0"/>
    <n v="0"/>
    <n v="0"/>
    <n v="0"/>
    <n v="0"/>
    <n v="0"/>
    <n v="0"/>
    <n v="0"/>
    <n v="0"/>
    <x v="6"/>
  </r>
  <r>
    <x v="2"/>
    <x v="59"/>
    <s v="Evenly by province/region"/>
    <n v="0"/>
    <n v="0"/>
    <n v="0"/>
    <n v="0"/>
    <n v="0"/>
    <n v="0"/>
    <n v="0"/>
    <n v="0"/>
    <n v="0"/>
    <n v="0"/>
    <n v="0"/>
    <n v="0"/>
    <n v="0"/>
    <n v="0"/>
    <n v="0"/>
    <n v="0"/>
    <n v="0"/>
    <n v="0"/>
    <n v="0"/>
    <n v="0"/>
    <n v="0"/>
    <n v="0"/>
    <x v="6"/>
  </r>
  <r>
    <x v="2"/>
    <x v="59"/>
    <s v="Evenly by province/region"/>
    <s v="National-level"/>
    <n v="0"/>
    <n v="0"/>
    <n v="0"/>
    <n v="0"/>
    <n v="0"/>
    <n v="0"/>
    <n v="0"/>
    <n v="0"/>
    <n v="0"/>
    <n v="0"/>
    <n v="0"/>
    <n v="0"/>
    <n v="0"/>
    <n v="0"/>
    <n v="0"/>
    <n v="0"/>
    <n v="0"/>
    <n v="0"/>
    <n v="0"/>
    <n v="0"/>
    <n v="0"/>
    <x v="6"/>
  </r>
  <r>
    <x v="2"/>
    <x v="60"/>
    <n v="0"/>
    <s v="Central"/>
    <e v="#N/A"/>
    <e v="#N/A"/>
    <e v="#N/A"/>
    <e v="#N/A"/>
    <e v="#N/A"/>
    <e v="#N/A"/>
    <e v="#N/A"/>
    <e v="#N/A"/>
    <e v="#N/A"/>
    <e v="#N/A"/>
    <n v="0"/>
    <n v="0"/>
    <n v="0"/>
    <n v="0"/>
    <n v="0"/>
    <n v="0"/>
    <n v="0"/>
    <n v="0"/>
    <n v="0"/>
    <n v="0"/>
    <n v="0"/>
    <x v="1"/>
  </r>
  <r>
    <x v="2"/>
    <x v="60"/>
    <n v="0"/>
    <s v="Copperbelt"/>
    <e v="#N/A"/>
    <e v="#N/A"/>
    <e v="#N/A"/>
    <e v="#N/A"/>
    <e v="#N/A"/>
    <e v="#N/A"/>
    <e v="#N/A"/>
    <e v="#N/A"/>
    <e v="#N/A"/>
    <e v="#N/A"/>
    <n v="0"/>
    <n v="0"/>
    <n v="0"/>
    <n v="0"/>
    <n v="0"/>
    <n v="0"/>
    <n v="0"/>
    <n v="0"/>
    <n v="0"/>
    <n v="0"/>
    <n v="0"/>
    <x v="1"/>
  </r>
  <r>
    <x v="2"/>
    <x v="60"/>
    <n v="0"/>
    <s v="Eastern"/>
    <e v="#N/A"/>
    <e v="#N/A"/>
    <e v="#N/A"/>
    <e v="#N/A"/>
    <e v="#N/A"/>
    <e v="#N/A"/>
    <e v="#N/A"/>
    <e v="#N/A"/>
    <e v="#N/A"/>
    <e v="#N/A"/>
    <n v="0"/>
    <n v="0"/>
    <n v="0"/>
    <n v="0"/>
    <n v="0"/>
    <n v="0"/>
    <n v="0"/>
    <n v="0"/>
    <n v="0"/>
    <n v="0"/>
    <n v="0"/>
    <x v="1"/>
  </r>
  <r>
    <x v="2"/>
    <x v="60"/>
    <n v="0"/>
    <s v="Luapula"/>
    <e v="#N/A"/>
    <e v="#N/A"/>
    <e v="#N/A"/>
    <e v="#N/A"/>
    <e v="#N/A"/>
    <e v="#N/A"/>
    <e v="#N/A"/>
    <e v="#N/A"/>
    <e v="#N/A"/>
    <e v="#N/A"/>
    <n v="0"/>
    <n v="0"/>
    <n v="0"/>
    <n v="0"/>
    <n v="0"/>
    <n v="0"/>
    <n v="0"/>
    <n v="0"/>
    <n v="0"/>
    <n v="0"/>
    <n v="0"/>
    <x v="1"/>
  </r>
  <r>
    <x v="2"/>
    <x v="60"/>
    <n v="0"/>
    <s v="Lusaka"/>
    <e v="#N/A"/>
    <e v="#N/A"/>
    <e v="#N/A"/>
    <e v="#N/A"/>
    <e v="#N/A"/>
    <e v="#N/A"/>
    <e v="#N/A"/>
    <e v="#N/A"/>
    <e v="#N/A"/>
    <e v="#N/A"/>
    <n v="0"/>
    <n v="0"/>
    <n v="0"/>
    <n v="0"/>
    <n v="0"/>
    <n v="0"/>
    <n v="0"/>
    <n v="0"/>
    <n v="0"/>
    <n v="0"/>
    <n v="0"/>
    <x v="1"/>
  </r>
  <r>
    <x v="2"/>
    <x v="60"/>
    <n v="0"/>
    <s v="Muchinga"/>
    <e v="#N/A"/>
    <e v="#N/A"/>
    <e v="#N/A"/>
    <e v="#N/A"/>
    <e v="#N/A"/>
    <e v="#N/A"/>
    <e v="#N/A"/>
    <e v="#N/A"/>
    <e v="#N/A"/>
    <e v="#N/A"/>
    <n v="0"/>
    <n v="0"/>
    <n v="0"/>
    <n v="0"/>
    <n v="0"/>
    <n v="0"/>
    <n v="0"/>
    <n v="0"/>
    <n v="0"/>
    <n v="0"/>
    <n v="0"/>
    <x v="1"/>
  </r>
  <r>
    <x v="2"/>
    <x v="60"/>
    <n v="0"/>
    <s v="Northern"/>
    <e v="#N/A"/>
    <e v="#N/A"/>
    <e v="#N/A"/>
    <e v="#N/A"/>
    <e v="#N/A"/>
    <e v="#N/A"/>
    <e v="#N/A"/>
    <e v="#N/A"/>
    <e v="#N/A"/>
    <e v="#N/A"/>
    <n v="0"/>
    <n v="0"/>
    <n v="0"/>
    <n v="0"/>
    <n v="0"/>
    <n v="0"/>
    <n v="0"/>
    <n v="0"/>
    <n v="0"/>
    <n v="0"/>
    <n v="0"/>
    <x v="1"/>
  </r>
  <r>
    <x v="2"/>
    <x v="60"/>
    <n v="0"/>
    <s v="North Western"/>
    <e v="#N/A"/>
    <e v="#N/A"/>
    <e v="#N/A"/>
    <e v="#N/A"/>
    <e v="#N/A"/>
    <e v="#N/A"/>
    <e v="#N/A"/>
    <e v="#N/A"/>
    <e v="#N/A"/>
    <e v="#N/A"/>
    <n v="0"/>
    <n v="0"/>
    <n v="0"/>
    <n v="0"/>
    <n v="0"/>
    <n v="0"/>
    <n v="0"/>
    <n v="0"/>
    <n v="0"/>
    <n v="0"/>
    <n v="0"/>
    <x v="1"/>
  </r>
  <r>
    <x v="2"/>
    <x v="60"/>
    <n v="0"/>
    <s v="Southern"/>
    <e v="#N/A"/>
    <e v="#N/A"/>
    <e v="#N/A"/>
    <e v="#N/A"/>
    <e v="#N/A"/>
    <e v="#N/A"/>
    <e v="#N/A"/>
    <e v="#N/A"/>
    <e v="#N/A"/>
    <e v="#N/A"/>
    <n v="0"/>
    <n v="0"/>
    <n v="0"/>
    <n v="0"/>
    <n v="0"/>
    <n v="0"/>
    <n v="0"/>
    <n v="0"/>
    <n v="0"/>
    <n v="0"/>
    <n v="0"/>
    <x v="1"/>
  </r>
  <r>
    <x v="2"/>
    <x v="60"/>
    <n v="0"/>
    <s v="Western"/>
    <e v="#N/A"/>
    <e v="#N/A"/>
    <e v="#N/A"/>
    <e v="#N/A"/>
    <e v="#N/A"/>
    <e v="#N/A"/>
    <e v="#N/A"/>
    <e v="#N/A"/>
    <e v="#N/A"/>
    <e v="#N/A"/>
    <n v="0"/>
    <n v="0"/>
    <n v="0"/>
    <n v="0"/>
    <n v="0"/>
    <n v="0"/>
    <n v="0"/>
    <n v="0"/>
    <n v="0"/>
    <n v="0"/>
    <n v="0"/>
    <x v="1"/>
  </r>
  <r>
    <x v="2"/>
    <x v="60"/>
    <n v="0"/>
    <n v="0"/>
    <e v="#N/A"/>
    <e v="#N/A"/>
    <e v="#N/A"/>
    <e v="#N/A"/>
    <e v="#N/A"/>
    <e v="#N/A"/>
    <e v="#N/A"/>
    <e v="#N/A"/>
    <e v="#N/A"/>
    <e v="#N/A"/>
    <n v="0"/>
    <n v="0"/>
    <n v="0"/>
    <n v="0"/>
    <n v="0"/>
    <n v="0"/>
    <n v="0"/>
    <n v="0"/>
    <n v="0"/>
    <n v="0"/>
    <n v="0"/>
    <x v="1"/>
  </r>
  <r>
    <x v="2"/>
    <x v="60"/>
    <n v="0"/>
    <n v="0"/>
    <e v="#N/A"/>
    <e v="#N/A"/>
    <e v="#N/A"/>
    <e v="#N/A"/>
    <e v="#N/A"/>
    <e v="#N/A"/>
    <e v="#N/A"/>
    <e v="#N/A"/>
    <e v="#N/A"/>
    <e v="#N/A"/>
    <n v="0"/>
    <n v="0"/>
    <n v="0"/>
    <n v="0"/>
    <n v="0"/>
    <n v="0"/>
    <n v="0"/>
    <n v="0"/>
    <n v="0"/>
    <n v="0"/>
    <n v="0"/>
    <x v="1"/>
  </r>
  <r>
    <x v="2"/>
    <x v="60"/>
    <n v="0"/>
    <n v="0"/>
    <e v="#N/A"/>
    <e v="#N/A"/>
    <e v="#N/A"/>
    <e v="#N/A"/>
    <e v="#N/A"/>
    <e v="#N/A"/>
    <e v="#N/A"/>
    <e v="#N/A"/>
    <e v="#N/A"/>
    <e v="#N/A"/>
    <n v="0"/>
    <n v="0"/>
    <n v="0"/>
    <n v="0"/>
    <n v="0"/>
    <n v="0"/>
    <n v="0"/>
    <n v="0"/>
    <n v="0"/>
    <n v="0"/>
    <n v="0"/>
    <x v="1"/>
  </r>
  <r>
    <x v="2"/>
    <x v="60"/>
    <n v="0"/>
    <n v="0"/>
    <e v="#N/A"/>
    <e v="#N/A"/>
    <e v="#N/A"/>
    <e v="#N/A"/>
    <e v="#N/A"/>
    <e v="#N/A"/>
    <e v="#N/A"/>
    <e v="#N/A"/>
    <e v="#N/A"/>
    <e v="#N/A"/>
    <n v="0"/>
    <n v="0"/>
    <n v="0"/>
    <n v="0"/>
    <n v="0"/>
    <n v="0"/>
    <n v="0"/>
    <n v="0"/>
    <n v="0"/>
    <n v="0"/>
    <n v="0"/>
    <x v="1"/>
  </r>
  <r>
    <x v="2"/>
    <x v="60"/>
    <n v="0"/>
    <n v="0"/>
    <e v="#N/A"/>
    <e v="#N/A"/>
    <e v="#N/A"/>
    <e v="#N/A"/>
    <e v="#N/A"/>
    <e v="#N/A"/>
    <e v="#N/A"/>
    <e v="#N/A"/>
    <e v="#N/A"/>
    <e v="#N/A"/>
    <n v="0"/>
    <n v="0"/>
    <n v="0"/>
    <n v="0"/>
    <n v="0"/>
    <n v="0"/>
    <n v="0"/>
    <n v="0"/>
    <n v="0"/>
    <n v="0"/>
    <n v="0"/>
    <x v="1"/>
  </r>
  <r>
    <x v="2"/>
    <x v="60"/>
    <n v="0"/>
    <s v="National-level"/>
    <e v="#N/A"/>
    <e v="#N/A"/>
    <e v="#N/A"/>
    <e v="#N/A"/>
    <e v="#N/A"/>
    <e v="#N/A"/>
    <e v="#N/A"/>
    <e v="#N/A"/>
    <e v="#N/A"/>
    <e v="#N/A"/>
    <n v="0"/>
    <n v="0"/>
    <n v="0"/>
    <n v="0"/>
    <n v="0"/>
    <n v="0"/>
    <n v="0"/>
    <n v="0"/>
    <n v="0"/>
    <n v="0"/>
    <n v="0"/>
    <x v="1"/>
  </r>
  <r>
    <x v="2"/>
    <x v="61"/>
    <s v="Central level"/>
    <s v="Central"/>
    <n v="0"/>
    <n v="0"/>
    <n v="0"/>
    <n v="0"/>
    <n v="0"/>
    <n v="0"/>
    <n v="0"/>
    <n v="0"/>
    <n v="0"/>
    <n v="0"/>
    <n v="0"/>
    <n v="0"/>
    <n v="0"/>
    <n v="0"/>
    <n v="0"/>
    <n v="0"/>
    <n v="0"/>
    <n v="0"/>
    <n v="0"/>
    <n v="0"/>
    <n v="0"/>
    <x v="6"/>
  </r>
  <r>
    <x v="2"/>
    <x v="61"/>
    <s v="Central level"/>
    <s v="Copperbelt"/>
    <n v="0"/>
    <n v="0"/>
    <n v="0"/>
    <n v="0"/>
    <n v="0"/>
    <n v="0"/>
    <n v="0"/>
    <n v="0"/>
    <n v="0"/>
    <n v="0"/>
    <n v="0"/>
    <n v="0"/>
    <n v="0"/>
    <n v="0"/>
    <n v="0"/>
    <n v="0"/>
    <n v="0"/>
    <n v="0"/>
    <n v="0"/>
    <n v="0"/>
    <n v="0"/>
    <x v="6"/>
  </r>
  <r>
    <x v="2"/>
    <x v="61"/>
    <s v="Central level"/>
    <s v="Eastern"/>
    <n v="0"/>
    <n v="0"/>
    <n v="0"/>
    <n v="0"/>
    <n v="0"/>
    <n v="0"/>
    <n v="0"/>
    <n v="0"/>
    <n v="0"/>
    <n v="0"/>
    <n v="0"/>
    <n v="0"/>
    <n v="0"/>
    <n v="0"/>
    <n v="0"/>
    <n v="0"/>
    <n v="0"/>
    <n v="0"/>
    <n v="0"/>
    <n v="0"/>
    <n v="0"/>
    <x v="6"/>
  </r>
  <r>
    <x v="2"/>
    <x v="61"/>
    <s v="Central level"/>
    <s v="Luapula"/>
    <n v="0"/>
    <n v="0"/>
    <n v="0"/>
    <n v="0"/>
    <n v="0"/>
    <n v="0"/>
    <n v="0"/>
    <n v="0"/>
    <n v="0"/>
    <n v="0"/>
    <n v="0"/>
    <n v="0"/>
    <n v="0"/>
    <n v="0"/>
    <n v="0"/>
    <n v="0"/>
    <n v="0"/>
    <n v="0"/>
    <n v="0"/>
    <n v="0"/>
    <n v="0"/>
    <x v="6"/>
  </r>
  <r>
    <x v="2"/>
    <x v="61"/>
    <s v="Central level"/>
    <s v="Lusaka"/>
    <n v="0"/>
    <n v="0"/>
    <n v="0"/>
    <n v="0"/>
    <n v="0"/>
    <n v="0"/>
    <n v="0"/>
    <n v="0"/>
    <n v="0"/>
    <n v="0"/>
    <n v="0"/>
    <n v="0"/>
    <n v="0"/>
    <n v="0"/>
    <n v="0"/>
    <n v="0"/>
    <n v="0"/>
    <n v="0"/>
    <n v="0"/>
    <n v="0"/>
    <n v="0"/>
    <x v="6"/>
  </r>
  <r>
    <x v="2"/>
    <x v="61"/>
    <s v="Central level"/>
    <s v="Muchinga"/>
    <n v="0"/>
    <n v="0"/>
    <n v="0"/>
    <n v="0"/>
    <n v="0"/>
    <n v="0"/>
    <n v="0"/>
    <n v="0"/>
    <n v="0"/>
    <n v="0"/>
    <n v="0"/>
    <n v="0"/>
    <n v="0"/>
    <n v="0"/>
    <n v="0"/>
    <n v="0"/>
    <n v="0"/>
    <n v="0"/>
    <n v="0"/>
    <n v="0"/>
    <n v="0"/>
    <x v="6"/>
  </r>
  <r>
    <x v="2"/>
    <x v="61"/>
    <s v="Central level"/>
    <s v="Northern"/>
    <n v="0"/>
    <n v="0"/>
    <n v="0"/>
    <n v="0"/>
    <n v="0"/>
    <n v="0"/>
    <n v="0"/>
    <n v="0"/>
    <n v="0"/>
    <n v="0"/>
    <n v="0"/>
    <n v="0"/>
    <n v="0"/>
    <n v="0"/>
    <n v="0"/>
    <n v="0"/>
    <n v="0"/>
    <n v="0"/>
    <n v="0"/>
    <n v="0"/>
    <n v="0"/>
    <x v="6"/>
  </r>
  <r>
    <x v="2"/>
    <x v="61"/>
    <s v="Central level"/>
    <s v="North Western"/>
    <n v="0"/>
    <n v="0"/>
    <n v="0"/>
    <n v="0"/>
    <n v="0"/>
    <n v="0"/>
    <n v="0"/>
    <n v="0"/>
    <n v="0"/>
    <n v="0"/>
    <n v="0"/>
    <n v="0"/>
    <n v="0"/>
    <n v="0"/>
    <n v="0"/>
    <n v="0"/>
    <n v="0"/>
    <n v="0"/>
    <n v="0"/>
    <n v="0"/>
    <n v="0"/>
    <x v="6"/>
  </r>
  <r>
    <x v="2"/>
    <x v="61"/>
    <s v="Central level"/>
    <s v="Southern"/>
    <n v="0"/>
    <n v="0"/>
    <n v="0"/>
    <n v="0"/>
    <n v="0"/>
    <n v="0"/>
    <n v="0"/>
    <n v="0"/>
    <n v="0"/>
    <n v="0"/>
    <n v="0"/>
    <n v="0"/>
    <n v="0"/>
    <n v="0"/>
    <n v="0"/>
    <n v="0"/>
    <n v="0"/>
    <n v="0"/>
    <n v="0"/>
    <n v="0"/>
    <n v="0"/>
    <x v="6"/>
  </r>
  <r>
    <x v="2"/>
    <x v="61"/>
    <s v="Central level"/>
    <s v="Western"/>
    <n v="0"/>
    <n v="0"/>
    <n v="0"/>
    <n v="0"/>
    <n v="0"/>
    <n v="0"/>
    <n v="0"/>
    <n v="0"/>
    <n v="0"/>
    <n v="0"/>
    <n v="0"/>
    <n v="0"/>
    <n v="0"/>
    <n v="0"/>
    <n v="0"/>
    <n v="0"/>
    <n v="0"/>
    <n v="0"/>
    <n v="0"/>
    <n v="0"/>
    <n v="0"/>
    <x v="6"/>
  </r>
  <r>
    <x v="2"/>
    <x v="61"/>
    <s v="Central level"/>
    <n v="0"/>
    <n v="0"/>
    <n v="0"/>
    <n v="0"/>
    <n v="0"/>
    <n v="0"/>
    <n v="0"/>
    <n v="0"/>
    <n v="0"/>
    <n v="0"/>
    <n v="0"/>
    <n v="0"/>
    <n v="0"/>
    <n v="0"/>
    <n v="0"/>
    <n v="0"/>
    <n v="0"/>
    <n v="0"/>
    <n v="0"/>
    <n v="0"/>
    <n v="0"/>
    <n v="0"/>
    <x v="6"/>
  </r>
  <r>
    <x v="2"/>
    <x v="61"/>
    <s v="Central level"/>
    <n v="0"/>
    <n v="0"/>
    <n v="0"/>
    <n v="0"/>
    <n v="0"/>
    <n v="0"/>
    <n v="0"/>
    <n v="0"/>
    <n v="0"/>
    <n v="0"/>
    <n v="0"/>
    <n v="0"/>
    <n v="0"/>
    <n v="0"/>
    <n v="0"/>
    <n v="0"/>
    <n v="0"/>
    <n v="0"/>
    <n v="0"/>
    <n v="0"/>
    <n v="0"/>
    <n v="0"/>
    <x v="6"/>
  </r>
  <r>
    <x v="2"/>
    <x v="61"/>
    <s v="Central level"/>
    <n v="0"/>
    <n v="0"/>
    <n v="0"/>
    <n v="0"/>
    <n v="0"/>
    <n v="0"/>
    <n v="0"/>
    <n v="0"/>
    <n v="0"/>
    <n v="0"/>
    <n v="0"/>
    <n v="0"/>
    <n v="0"/>
    <n v="0"/>
    <n v="0"/>
    <n v="0"/>
    <n v="0"/>
    <n v="0"/>
    <n v="0"/>
    <n v="0"/>
    <n v="0"/>
    <n v="0"/>
    <x v="6"/>
  </r>
  <r>
    <x v="2"/>
    <x v="61"/>
    <s v="Central level"/>
    <n v="0"/>
    <n v="0"/>
    <n v="0"/>
    <n v="0"/>
    <n v="0"/>
    <n v="0"/>
    <n v="0"/>
    <n v="0"/>
    <n v="0"/>
    <n v="0"/>
    <n v="0"/>
    <n v="0"/>
    <n v="0"/>
    <n v="0"/>
    <n v="0"/>
    <n v="0"/>
    <n v="0"/>
    <n v="0"/>
    <n v="0"/>
    <n v="0"/>
    <n v="0"/>
    <n v="0"/>
    <x v="6"/>
  </r>
  <r>
    <x v="2"/>
    <x v="61"/>
    <s v="Central level"/>
    <n v="0"/>
    <n v="0"/>
    <n v="0"/>
    <n v="0"/>
    <n v="0"/>
    <n v="0"/>
    <n v="0"/>
    <n v="0"/>
    <n v="0"/>
    <n v="0"/>
    <n v="0"/>
    <n v="0"/>
    <n v="0"/>
    <n v="0"/>
    <n v="0"/>
    <n v="0"/>
    <n v="0"/>
    <n v="0"/>
    <n v="0"/>
    <n v="0"/>
    <n v="0"/>
    <n v="0"/>
    <x v="6"/>
  </r>
  <r>
    <x v="2"/>
    <x v="61"/>
    <s v="Central level"/>
    <s v="National-level"/>
    <n v="0"/>
    <n v="0"/>
    <n v="0"/>
    <n v="0"/>
    <n v="167832.73199999999"/>
    <n v="0"/>
    <n v="0"/>
    <n v="0"/>
    <n v="0"/>
    <n v="0"/>
    <n v="167832.73199999999"/>
    <n v="0"/>
    <n v="0"/>
    <n v="0"/>
    <n v="0"/>
    <n v="167832.73199999999"/>
    <n v="0"/>
    <n v="0"/>
    <n v="0"/>
    <n v="0"/>
    <n v="0"/>
    <x v="6"/>
  </r>
  <r>
    <x v="2"/>
    <x v="62"/>
    <s v="Central level"/>
    <s v="Central"/>
    <n v="0"/>
    <n v="0"/>
    <n v="0"/>
    <n v="0"/>
    <n v="0"/>
    <n v="0"/>
    <n v="0"/>
    <n v="0"/>
    <n v="0"/>
    <n v="0"/>
    <n v="0"/>
    <n v="0"/>
    <n v="0"/>
    <n v="0"/>
    <n v="0"/>
    <n v="0"/>
    <n v="0"/>
    <n v="0"/>
    <n v="0"/>
    <n v="0"/>
    <n v="0"/>
    <x v="6"/>
  </r>
  <r>
    <x v="2"/>
    <x v="62"/>
    <s v="Central level"/>
    <s v="Copperbelt"/>
    <n v="0"/>
    <n v="0"/>
    <n v="0"/>
    <n v="0"/>
    <n v="0"/>
    <n v="0"/>
    <n v="0"/>
    <n v="0"/>
    <n v="0"/>
    <n v="0"/>
    <n v="0"/>
    <n v="0"/>
    <n v="0"/>
    <n v="0"/>
    <n v="0"/>
    <n v="0"/>
    <n v="0"/>
    <n v="0"/>
    <n v="0"/>
    <n v="0"/>
    <n v="0"/>
    <x v="6"/>
  </r>
  <r>
    <x v="2"/>
    <x v="62"/>
    <s v="Central level"/>
    <s v="Eastern"/>
    <n v="0"/>
    <n v="0"/>
    <n v="0"/>
    <n v="0"/>
    <n v="0"/>
    <n v="0"/>
    <n v="0"/>
    <n v="0"/>
    <n v="0"/>
    <n v="0"/>
    <n v="0"/>
    <n v="0"/>
    <n v="0"/>
    <n v="0"/>
    <n v="0"/>
    <n v="0"/>
    <n v="0"/>
    <n v="0"/>
    <n v="0"/>
    <n v="0"/>
    <n v="0"/>
    <x v="6"/>
  </r>
  <r>
    <x v="2"/>
    <x v="62"/>
    <s v="Central level"/>
    <s v="Luapula"/>
    <n v="0"/>
    <n v="0"/>
    <n v="0"/>
    <n v="0"/>
    <n v="0"/>
    <n v="0"/>
    <n v="0"/>
    <n v="0"/>
    <n v="0"/>
    <n v="0"/>
    <n v="0"/>
    <n v="0"/>
    <n v="0"/>
    <n v="0"/>
    <n v="0"/>
    <n v="0"/>
    <n v="0"/>
    <n v="0"/>
    <n v="0"/>
    <n v="0"/>
    <n v="0"/>
    <x v="6"/>
  </r>
  <r>
    <x v="2"/>
    <x v="62"/>
    <s v="Central level"/>
    <s v="Lusaka"/>
    <n v="0"/>
    <n v="0"/>
    <n v="0"/>
    <n v="0"/>
    <n v="0"/>
    <n v="0"/>
    <n v="0"/>
    <n v="0"/>
    <n v="0"/>
    <n v="0"/>
    <n v="0"/>
    <n v="0"/>
    <n v="0"/>
    <n v="0"/>
    <n v="0"/>
    <n v="0"/>
    <n v="0"/>
    <n v="0"/>
    <n v="0"/>
    <n v="0"/>
    <n v="0"/>
    <x v="6"/>
  </r>
  <r>
    <x v="2"/>
    <x v="62"/>
    <s v="Central level"/>
    <s v="Muchinga"/>
    <n v="0"/>
    <n v="0"/>
    <n v="0"/>
    <n v="0"/>
    <n v="0"/>
    <n v="0"/>
    <n v="0"/>
    <n v="0"/>
    <n v="0"/>
    <n v="0"/>
    <n v="0"/>
    <n v="0"/>
    <n v="0"/>
    <n v="0"/>
    <n v="0"/>
    <n v="0"/>
    <n v="0"/>
    <n v="0"/>
    <n v="0"/>
    <n v="0"/>
    <n v="0"/>
    <x v="6"/>
  </r>
  <r>
    <x v="2"/>
    <x v="62"/>
    <s v="Central level"/>
    <s v="Northern"/>
    <n v="0"/>
    <n v="0"/>
    <n v="0"/>
    <n v="0"/>
    <n v="0"/>
    <n v="0"/>
    <n v="0"/>
    <n v="0"/>
    <n v="0"/>
    <n v="0"/>
    <n v="0"/>
    <n v="0"/>
    <n v="0"/>
    <n v="0"/>
    <n v="0"/>
    <n v="0"/>
    <n v="0"/>
    <n v="0"/>
    <n v="0"/>
    <n v="0"/>
    <n v="0"/>
    <x v="6"/>
  </r>
  <r>
    <x v="2"/>
    <x v="62"/>
    <s v="Central level"/>
    <s v="North Western"/>
    <n v="0"/>
    <n v="0"/>
    <n v="0"/>
    <n v="0"/>
    <n v="0"/>
    <n v="0"/>
    <n v="0"/>
    <n v="0"/>
    <n v="0"/>
    <n v="0"/>
    <n v="0"/>
    <n v="0"/>
    <n v="0"/>
    <n v="0"/>
    <n v="0"/>
    <n v="0"/>
    <n v="0"/>
    <n v="0"/>
    <n v="0"/>
    <n v="0"/>
    <n v="0"/>
    <x v="6"/>
  </r>
  <r>
    <x v="2"/>
    <x v="62"/>
    <s v="Central level"/>
    <s v="Southern"/>
    <n v="0"/>
    <n v="0"/>
    <n v="0"/>
    <n v="0"/>
    <n v="0"/>
    <n v="0"/>
    <n v="0"/>
    <n v="0"/>
    <n v="0"/>
    <n v="0"/>
    <n v="0"/>
    <n v="0"/>
    <n v="0"/>
    <n v="0"/>
    <n v="0"/>
    <n v="0"/>
    <n v="0"/>
    <n v="0"/>
    <n v="0"/>
    <n v="0"/>
    <n v="0"/>
    <x v="6"/>
  </r>
  <r>
    <x v="2"/>
    <x v="62"/>
    <s v="Central level"/>
    <s v="Western"/>
    <n v="0"/>
    <n v="0"/>
    <n v="0"/>
    <n v="0"/>
    <n v="0"/>
    <n v="0"/>
    <n v="0"/>
    <n v="0"/>
    <n v="0"/>
    <n v="0"/>
    <n v="0"/>
    <n v="0"/>
    <n v="0"/>
    <n v="0"/>
    <n v="0"/>
    <n v="0"/>
    <n v="0"/>
    <n v="0"/>
    <n v="0"/>
    <n v="0"/>
    <n v="0"/>
    <x v="6"/>
  </r>
  <r>
    <x v="2"/>
    <x v="62"/>
    <s v="Central level"/>
    <n v="0"/>
    <n v="0"/>
    <n v="0"/>
    <n v="0"/>
    <n v="0"/>
    <n v="0"/>
    <n v="0"/>
    <n v="0"/>
    <n v="0"/>
    <n v="0"/>
    <n v="0"/>
    <n v="0"/>
    <n v="0"/>
    <n v="0"/>
    <n v="0"/>
    <n v="0"/>
    <n v="0"/>
    <n v="0"/>
    <n v="0"/>
    <n v="0"/>
    <n v="0"/>
    <n v="0"/>
    <x v="6"/>
  </r>
  <r>
    <x v="2"/>
    <x v="62"/>
    <s v="Central level"/>
    <n v="0"/>
    <n v="0"/>
    <n v="0"/>
    <n v="0"/>
    <n v="0"/>
    <n v="0"/>
    <n v="0"/>
    <n v="0"/>
    <n v="0"/>
    <n v="0"/>
    <n v="0"/>
    <n v="0"/>
    <n v="0"/>
    <n v="0"/>
    <n v="0"/>
    <n v="0"/>
    <n v="0"/>
    <n v="0"/>
    <n v="0"/>
    <n v="0"/>
    <n v="0"/>
    <n v="0"/>
    <x v="6"/>
  </r>
  <r>
    <x v="2"/>
    <x v="62"/>
    <s v="Central level"/>
    <n v="0"/>
    <n v="0"/>
    <n v="0"/>
    <n v="0"/>
    <n v="0"/>
    <n v="0"/>
    <n v="0"/>
    <n v="0"/>
    <n v="0"/>
    <n v="0"/>
    <n v="0"/>
    <n v="0"/>
    <n v="0"/>
    <n v="0"/>
    <n v="0"/>
    <n v="0"/>
    <n v="0"/>
    <n v="0"/>
    <n v="0"/>
    <n v="0"/>
    <n v="0"/>
    <n v="0"/>
    <x v="6"/>
  </r>
  <r>
    <x v="2"/>
    <x v="62"/>
    <s v="Central level"/>
    <n v="0"/>
    <n v="0"/>
    <n v="0"/>
    <n v="0"/>
    <n v="0"/>
    <n v="0"/>
    <n v="0"/>
    <n v="0"/>
    <n v="0"/>
    <n v="0"/>
    <n v="0"/>
    <n v="0"/>
    <n v="0"/>
    <n v="0"/>
    <n v="0"/>
    <n v="0"/>
    <n v="0"/>
    <n v="0"/>
    <n v="0"/>
    <n v="0"/>
    <n v="0"/>
    <n v="0"/>
    <x v="6"/>
  </r>
  <r>
    <x v="2"/>
    <x v="62"/>
    <s v="Central level"/>
    <n v="0"/>
    <n v="0"/>
    <n v="0"/>
    <n v="0"/>
    <n v="0"/>
    <n v="0"/>
    <n v="0"/>
    <n v="0"/>
    <n v="0"/>
    <n v="0"/>
    <n v="0"/>
    <n v="0"/>
    <n v="0"/>
    <n v="0"/>
    <n v="0"/>
    <n v="0"/>
    <n v="0"/>
    <n v="0"/>
    <n v="0"/>
    <n v="0"/>
    <n v="0"/>
    <n v="0"/>
    <x v="6"/>
  </r>
  <r>
    <x v="2"/>
    <x v="62"/>
    <s v="Central level"/>
    <s v="National-level"/>
    <n v="0"/>
    <n v="0"/>
    <n v="0"/>
    <n v="0"/>
    <n v="0"/>
    <n v="0"/>
    <n v="69842.615999999995"/>
    <n v="0"/>
    <n v="0"/>
    <n v="0"/>
    <n v="69842.615999999995"/>
    <n v="0"/>
    <n v="0"/>
    <n v="0"/>
    <n v="0"/>
    <n v="0"/>
    <n v="0"/>
    <n v="69842.615999999995"/>
    <n v="0"/>
    <n v="0"/>
    <n v="0"/>
    <x v="6"/>
  </r>
  <r>
    <x v="2"/>
    <x v="63"/>
    <s v="Central level"/>
    <s v="Central"/>
    <n v="0"/>
    <n v="0"/>
    <n v="0"/>
    <n v="0"/>
    <n v="0"/>
    <n v="0"/>
    <n v="0"/>
    <n v="0"/>
    <n v="0"/>
    <n v="0"/>
    <n v="0"/>
    <n v="0"/>
    <n v="0"/>
    <n v="0"/>
    <n v="0"/>
    <n v="0"/>
    <n v="0"/>
    <n v="0"/>
    <n v="0"/>
    <n v="0"/>
    <n v="0"/>
    <x v="6"/>
  </r>
  <r>
    <x v="2"/>
    <x v="63"/>
    <s v="Central level"/>
    <s v="Copperbelt"/>
    <n v="0"/>
    <n v="0"/>
    <n v="0"/>
    <n v="0"/>
    <n v="0"/>
    <n v="0"/>
    <n v="0"/>
    <n v="0"/>
    <n v="0"/>
    <n v="0"/>
    <n v="0"/>
    <n v="0"/>
    <n v="0"/>
    <n v="0"/>
    <n v="0"/>
    <n v="0"/>
    <n v="0"/>
    <n v="0"/>
    <n v="0"/>
    <n v="0"/>
    <n v="0"/>
    <x v="6"/>
  </r>
  <r>
    <x v="2"/>
    <x v="63"/>
    <s v="Central level"/>
    <s v="Eastern"/>
    <n v="0"/>
    <n v="0"/>
    <n v="0"/>
    <n v="0"/>
    <n v="0"/>
    <n v="0"/>
    <n v="0"/>
    <n v="0"/>
    <n v="0"/>
    <n v="0"/>
    <n v="0"/>
    <n v="0"/>
    <n v="0"/>
    <n v="0"/>
    <n v="0"/>
    <n v="0"/>
    <n v="0"/>
    <n v="0"/>
    <n v="0"/>
    <n v="0"/>
    <n v="0"/>
    <x v="6"/>
  </r>
  <r>
    <x v="2"/>
    <x v="63"/>
    <s v="Central level"/>
    <s v="Luapula"/>
    <n v="0"/>
    <n v="0"/>
    <n v="0"/>
    <n v="0"/>
    <n v="0"/>
    <n v="0"/>
    <n v="0"/>
    <n v="0"/>
    <n v="0"/>
    <n v="0"/>
    <n v="0"/>
    <n v="0"/>
    <n v="0"/>
    <n v="0"/>
    <n v="0"/>
    <n v="0"/>
    <n v="0"/>
    <n v="0"/>
    <n v="0"/>
    <n v="0"/>
    <n v="0"/>
    <x v="6"/>
  </r>
  <r>
    <x v="2"/>
    <x v="63"/>
    <s v="Central level"/>
    <s v="Lusaka"/>
    <n v="0"/>
    <n v="0"/>
    <n v="0"/>
    <n v="0"/>
    <n v="0"/>
    <n v="0"/>
    <n v="0"/>
    <n v="0"/>
    <n v="0"/>
    <n v="0"/>
    <n v="0"/>
    <n v="0"/>
    <n v="0"/>
    <n v="0"/>
    <n v="0"/>
    <n v="0"/>
    <n v="0"/>
    <n v="0"/>
    <n v="0"/>
    <n v="0"/>
    <n v="0"/>
    <x v="6"/>
  </r>
  <r>
    <x v="2"/>
    <x v="63"/>
    <s v="Central level"/>
    <s v="Muchinga"/>
    <n v="0"/>
    <n v="0"/>
    <n v="0"/>
    <n v="0"/>
    <n v="0"/>
    <n v="0"/>
    <n v="0"/>
    <n v="0"/>
    <n v="0"/>
    <n v="0"/>
    <n v="0"/>
    <n v="0"/>
    <n v="0"/>
    <n v="0"/>
    <n v="0"/>
    <n v="0"/>
    <n v="0"/>
    <n v="0"/>
    <n v="0"/>
    <n v="0"/>
    <n v="0"/>
    <x v="6"/>
  </r>
  <r>
    <x v="2"/>
    <x v="63"/>
    <s v="Central level"/>
    <s v="Northern"/>
    <n v="0"/>
    <n v="0"/>
    <n v="0"/>
    <n v="0"/>
    <n v="0"/>
    <n v="0"/>
    <n v="0"/>
    <n v="0"/>
    <n v="0"/>
    <n v="0"/>
    <n v="0"/>
    <n v="0"/>
    <n v="0"/>
    <n v="0"/>
    <n v="0"/>
    <n v="0"/>
    <n v="0"/>
    <n v="0"/>
    <n v="0"/>
    <n v="0"/>
    <n v="0"/>
    <x v="6"/>
  </r>
  <r>
    <x v="2"/>
    <x v="63"/>
    <s v="Central level"/>
    <s v="North Western"/>
    <n v="0"/>
    <n v="0"/>
    <n v="0"/>
    <n v="0"/>
    <n v="0"/>
    <n v="0"/>
    <n v="0"/>
    <n v="0"/>
    <n v="0"/>
    <n v="0"/>
    <n v="0"/>
    <n v="0"/>
    <n v="0"/>
    <n v="0"/>
    <n v="0"/>
    <n v="0"/>
    <n v="0"/>
    <n v="0"/>
    <n v="0"/>
    <n v="0"/>
    <n v="0"/>
    <x v="6"/>
  </r>
  <r>
    <x v="2"/>
    <x v="63"/>
    <s v="Central level"/>
    <s v="Southern"/>
    <n v="0"/>
    <n v="0"/>
    <n v="0"/>
    <n v="0"/>
    <n v="0"/>
    <n v="0"/>
    <n v="0"/>
    <n v="0"/>
    <n v="0"/>
    <n v="0"/>
    <n v="0"/>
    <n v="0"/>
    <n v="0"/>
    <n v="0"/>
    <n v="0"/>
    <n v="0"/>
    <n v="0"/>
    <n v="0"/>
    <n v="0"/>
    <n v="0"/>
    <n v="0"/>
    <x v="6"/>
  </r>
  <r>
    <x v="2"/>
    <x v="63"/>
    <s v="Central level"/>
    <s v="Western"/>
    <n v="0"/>
    <n v="0"/>
    <n v="0"/>
    <n v="0"/>
    <n v="0"/>
    <n v="0"/>
    <n v="0"/>
    <n v="0"/>
    <n v="0"/>
    <n v="0"/>
    <n v="0"/>
    <n v="0"/>
    <n v="0"/>
    <n v="0"/>
    <n v="0"/>
    <n v="0"/>
    <n v="0"/>
    <n v="0"/>
    <n v="0"/>
    <n v="0"/>
    <n v="0"/>
    <x v="6"/>
  </r>
  <r>
    <x v="2"/>
    <x v="63"/>
    <s v="Central level"/>
    <n v="0"/>
    <n v="0"/>
    <n v="0"/>
    <n v="0"/>
    <n v="0"/>
    <n v="0"/>
    <n v="0"/>
    <n v="0"/>
    <n v="0"/>
    <n v="0"/>
    <n v="0"/>
    <n v="0"/>
    <n v="0"/>
    <n v="0"/>
    <n v="0"/>
    <n v="0"/>
    <n v="0"/>
    <n v="0"/>
    <n v="0"/>
    <n v="0"/>
    <n v="0"/>
    <n v="0"/>
    <x v="6"/>
  </r>
  <r>
    <x v="2"/>
    <x v="63"/>
    <s v="Central level"/>
    <n v="0"/>
    <n v="0"/>
    <n v="0"/>
    <n v="0"/>
    <n v="0"/>
    <n v="0"/>
    <n v="0"/>
    <n v="0"/>
    <n v="0"/>
    <n v="0"/>
    <n v="0"/>
    <n v="0"/>
    <n v="0"/>
    <n v="0"/>
    <n v="0"/>
    <n v="0"/>
    <n v="0"/>
    <n v="0"/>
    <n v="0"/>
    <n v="0"/>
    <n v="0"/>
    <n v="0"/>
    <x v="6"/>
  </r>
  <r>
    <x v="2"/>
    <x v="63"/>
    <s v="Central level"/>
    <n v="0"/>
    <n v="0"/>
    <n v="0"/>
    <n v="0"/>
    <n v="0"/>
    <n v="0"/>
    <n v="0"/>
    <n v="0"/>
    <n v="0"/>
    <n v="0"/>
    <n v="0"/>
    <n v="0"/>
    <n v="0"/>
    <n v="0"/>
    <n v="0"/>
    <n v="0"/>
    <n v="0"/>
    <n v="0"/>
    <n v="0"/>
    <n v="0"/>
    <n v="0"/>
    <n v="0"/>
    <x v="6"/>
  </r>
  <r>
    <x v="2"/>
    <x v="63"/>
    <s v="Central level"/>
    <n v="0"/>
    <n v="0"/>
    <n v="0"/>
    <n v="0"/>
    <n v="0"/>
    <n v="0"/>
    <n v="0"/>
    <n v="0"/>
    <n v="0"/>
    <n v="0"/>
    <n v="0"/>
    <n v="0"/>
    <n v="0"/>
    <n v="0"/>
    <n v="0"/>
    <n v="0"/>
    <n v="0"/>
    <n v="0"/>
    <n v="0"/>
    <n v="0"/>
    <n v="0"/>
    <n v="0"/>
    <x v="6"/>
  </r>
  <r>
    <x v="2"/>
    <x v="63"/>
    <s v="Central level"/>
    <n v="0"/>
    <n v="0"/>
    <n v="0"/>
    <n v="0"/>
    <n v="0"/>
    <n v="0"/>
    <n v="0"/>
    <n v="0"/>
    <n v="0"/>
    <n v="0"/>
    <n v="0"/>
    <n v="0"/>
    <n v="0"/>
    <n v="0"/>
    <n v="0"/>
    <n v="0"/>
    <n v="0"/>
    <n v="0"/>
    <n v="0"/>
    <n v="0"/>
    <n v="0"/>
    <n v="0"/>
    <x v="6"/>
  </r>
  <r>
    <x v="2"/>
    <x v="63"/>
    <s v="Central level"/>
    <s v="National-level"/>
    <n v="617500"/>
    <n v="617500"/>
    <n v="617500"/>
    <n v="617500"/>
    <n v="617500"/>
    <n v="617500"/>
    <n v="617500"/>
    <n v="617500"/>
    <n v="0"/>
    <n v="0"/>
    <n v="4940000"/>
    <n v="617500"/>
    <n v="617500"/>
    <n v="617500"/>
    <n v="617500"/>
    <n v="617500"/>
    <n v="617500"/>
    <n v="617500"/>
    <n v="617500"/>
    <n v="0"/>
    <n v="0"/>
    <x v="6"/>
  </r>
  <r>
    <x v="2"/>
    <x v="64"/>
    <s v="Central level"/>
    <s v="Central"/>
    <n v="0"/>
    <n v="0"/>
    <n v="0"/>
    <n v="0"/>
    <n v="0"/>
    <n v="0"/>
    <n v="0"/>
    <n v="0"/>
    <n v="0"/>
    <n v="0"/>
    <n v="0"/>
    <n v="0"/>
    <n v="0"/>
    <n v="0"/>
    <n v="0"/>
    <n v="0"/>
    <n v="0"/>
    <n v="0"/>
    <n v="0"/>
    <n v="0"/>
    <n v="0"/>
    <x v="6"/>
  </r>
  <r>
    <x v="2"/>
    <x v="64"/>
    <s v="Central level"/>
    <s v="Copperbelt"/>
    <n v="0"/>
    <n v="0"/>
    <n v="0"/>
    <n v="0"/>
    <n v="0"/>
    <n v="0"/>
    <n v="0"/>
    <n v="0"/>
    <n v="0"/>
    <n v="0"/>
    <n v="0"/>
    <n v="0"/>
    <n v="0"/>
    <n v="0"/>
    <n v="0"/>
    <n v="0"/>
    <n v="0"/>
    <n v="0"/>
    <n v="0"/>
    <n v="0"/>
    <n v="0"/>
    <x v="6"/>
  </r>
  <r>
    <x v="2"/>
    <x v="64"/>
    <s v="Central level"/>
    <s v="Eastern"/>
    <n v="0"/>
    <n v="0"/>
    <n v="0"/>
    <n v="0"/>
    <n v="0"/>
    <n v="0"/>
    <n v="0"/>
    <n v="0"/>
    <n v="0"/>
    <n v="0"/>
    <n v="0"/>
    <n v="0"/>
    <n v="0"/>
    <n v="0"/>
    <n v="0"/>
    <n v="0"/>
    <n v="0"/>
    <n v="0"/>
    <n v="0"/>
    <n v="0"/>
    <n v="0"/>
    <x v="6"/>
  </r>
  <r>
    <x v="2"/>
    <x v="64"/>
    <s v="Central level"/>
    <s v="Luapula"/>
    <n v="0"/>
    <n v="0"/>
    <n v="0"/>
    <n v="0"/>
    <n v="0"/>
    <n v="0"/>
    <n v="0"/>
    <n v="0"/>
    <n v="0"/>
    <n v="0"/>
    <n v="0"/>
    <n v="0"/>
    <n v="0"/>
    <n v="0"/>
    <n v="0"/>
    <n v="0"/>
    <n v="0"/>
    <n v="0"/>
    <n v="0"/>
    <n v="0"/>
    <n v="0"/>
    <x v="6"/>
  </r>
  <r>
    <x v="2"/>
    <x v="64"/>
    <s v="Central level"/>
    <s v="Lusaka"/>
    <n v="0"/>
    <n v="0"/>
    <n v="0"/>
    <n v="0"/>
    <n v="0"/>
    <n v="0"/>
    <n v="0"/>
    <n v="0"/>
    <n v="0"/>
    <n v="0"/>
    <n v="0"/>
    <n v="0"/>
    <n v="0"/>
    <n v="0"/>
    <n v="0"/>
    <n v="0"/>
    <n v="0"/>
    <n v="0"/>
    <n v="0"/>
    <n v="0"/>
    <n v="0"/>
    <x v="6"/>
  </r>
  <r>
    <x v="2"/>
    <x v="64"/>
    <s v="Central level"/>
    <s v="Muchinga"/>
    <n v="0"/>
    <n v="0"/>
    <n v="0"/>
    <n v="0"/>
    <n v="0"/>
    <n v="0"/>
    <n v="0"/>
    <n v="0"/>
    <n v="0"/>
    <n v="0"/>
    <n v="0"/>
    <n v="0"/>
    <n v="0"/>
    <n v="0"/>
    <n v="0"/>
    <n v="0"/>
    <n v="0"/>
    <n v="0"/>
    <n v="0"/>
    <n v="0"/>
    <n v="0"/>
    <x v="6"/>
  </r>
  <r>
    <x v="2"/>
    <x v="64"/>
    <s v="Central level"/>
    <s v="Northern"/>
    <n v="0"/>
    <n v="0"/>
    <n v="0"/>
    <n v="0"/>
    <n v="0"/>
    <n v="0"/>
    <n v="0"/>
    <n v="0"/>
    <n v="0"/>
    <n v="0"/>
    <n v="0"/>
    <n v="0"/>
    <n v="0"/>
    <n v="0"/>
    <n v="0"/>
    <n v="0"/>
    <n v="0"/>
    <n v="0"/>
    <n v="0"/>
    <n v="0"/>
    <n v="0"/>
    <x v="6"/>
  </r>
  <r>
    <x v="2"/>
    <x v="64"/>
    <s v="Central level"/>
    <s v="North Western"/>
    <n v="0"/>
    <n v="0"/>
    <n v="0"/>
    <n v="0"/>
    <n v="0"/>
    <n v="0"/>
    <n v="0"/>
    <n v="0"/>
    <n v="0"/>
    <n v="0"/>
    <n v="0"/>
    <n v="0"/>
    <n v="0"/>
    <n v="0"/>
    <n v="0"/>
    <n v="0"/>
    <n v="0"/>
    <n v="0"/>
    <n v="0"/>
    <n v="0"/>
    <n v="0"/>
    <x v="6"/>
  </r>
  <r>
    <x v="2"/>
    <x v="64"/>
    <s v="Central level"/>
    <s v="Southern"/>
    <n v="0"/>
    <n v="0"/>
    <n v="0"/>
    <n v="0"/>
    <n v="0"/>
    <n v="0"/>
    <n v="0"/>
    <n v="0"/>
    <n v="0"/>
    <n v="0"/>
    <n v="0"/>
    <n v="0"/>
    <n v="0"/>
    <n v="0"/>
    <n v="0"/>
    <n v="0"/>
    <n v="0"/>
    <n v="0"/>
    <n v="0"/>
    <n v="0"/>
    <n v="0"/>
    <x v="6"/>
  </r>
  <r>
    <x v="2"/>
    <x v="64"/>
    <s v="Central level"/>
    <s v="Western"/>
    <n v="0"/>
    <n v="0"/>
    <n v="0"/>
    <n v="0"/>
    <n v="0"/>
    <n v="0"/>
    <n v="0"/>
    <n v="0"/>
    <n v="0"/>
    <n v="0"/>
    <n v="0"/>
    <n v="0"/>
    <n v="0"/>
    <n v="0"/>
    <n v="0"/>
    <n v="0"/>
    <n v="0"/>
    <n v="0"/>
    <n v="0"/>
    <n v="0"/>
    <n v="0"/>
    <x v="6"/>
  </r>
  <r>
    <x v="2"/>
    <x v="64"/>
    <s v="Central level"/>
    <n v="0"/>
    <n v="0"/>
    <n v="0"/>
    <n v="0"/>
    <n v="0"/>
    <n v="0"/>
    <n v="0"/>
    <n v="0"/>
    <n v="0"/>
    <n v="0"/>
    <n v="0"/>
    <n v="0"/>
    <n v="0"/>
    <n v="0"/>
    <n v="0"/>
    <n v="0"/>
    <n v="0"/>
    <n v="0"/>
    <n v="0"/>
    <n v="0"/>
    <n v="0"/>
    <n v="0"/>
    <x v="6"/>
  </r>
  <r>
    <x v="2"/>
    <x v="64"/>
    <s v="Central level"/>
    <n v="0"/>
    <n v="0"/>
    <n v="0"/>
    <n v="0"/>
    <n v="0"/>
    <n v="0"/>
    <n v="0"/>
    <n v="0"/>
    <n v="0"/>
    <n v="0"/>
    <n v="0"/>
    <n v="0"/>
    <n v="0"/>
    <n v="0"/>
    <n v="0"/>
    <n v="0"/>
    <n v="0"/>
    <n v="0"/>
    <n v="0"/>
    <n v="0"/>
    <n v="0"/>
    <n v="0"/>
    <x v="6"/>
  </r>
  <r>
    <x v="2"/>
    <x v="64"/>
    <s v="Central level"/>
    <n v="0"/>
    <n v="0"/>
    <n v="0"/>
    <n v="0"/>
    <n v="0"/>
    <n v="0"/>
    <n v="0"/>
    <n v="0"/>
    <n v="0"/>
    <n v="0"/>
    <n v="0"/>
    <n v="0"/>
    <n v="0"/>
    <n v="0"/>
    <n v="0"/>
    <n v="0"/>
    <n v="0"/>
    <n v="0"/>
    <n v="0"/>
    <n v="0"/>
    <n v="0"/>
    <n v="0"/>
    <x v="6"/>
  </r>
  <r>
    <x v="2"/>
    <x v="64"/>
    <s v="Central level"/>
    <n v="0"/>
    <n v="0"/>
    <n v="0"/>
    <n v="0"/>
    <n v="0"/>
    <n v="0"/>
    <n v="0"/>
    <n v="0"/>
    <n v="0"/>
    <n v="0"/>
    <n v="0"/>
    <n v="0"/>
    <n v="0"/>
    <n v="0"/>
    <n v="0"/>
    <n v="0"/>
    <n v="0"/>
    <n v="0"/>
    <n v="0"/>
    <n v="0"/>
    <n v="0"/>
    <n v="0"/>
    <x v="6"/>
  </r>
  <r>
    <x v="2"/>
    <x v="64"/>
    <s v="Central level"/>
    <n v="0"/>
    <n v="0"/>
    <n v="0"/>
    <n v="0"/>
    <n v="0"/>
    <n v="0"/>
    <n v="0"/>
    <n v="0"/>
    <n v="0"/>
    <n v="0"/>
    <n v="0"/>
    <n v="0"/>
    <n v="0"/>
    <n v="0"/>
    <n v="0"/>
    <n v="0"/>
    <n v="0"/>
    <n v="0"/>
    <n v="0"/>
    <n v="0"/>
    <n v="0"/>
    <n v="0"/>
    <x v="6"/>
  </r>
  <r>
    <x v="2"/>
    <x v="64"/>
    <s v="Central level"/>
    <s v="National-level"/>
    <n v="352100"/>
    <n v="0"/>
    <n v="0"/>
    <n v="0"/>
    <n v="0"/>
    <n v="0"/>
    <n v="0"/>
    <n v="0"/>
    <n v="0"/>
    <n v="0"/>
    <n v="352100"/>
    <n v="352100"/>
    <n v="0"/>
    <n v="0"/>
    <n v="0"/>
    <n v="0"/>
    <n v="0"/>
    <n v="0"/>
    <n v="0"/>
    <n v="0"/>
    <n v="0"/>
    <x v="6"/>
  </r>
  <r>
    <x v="2"/>
    <x v="65"/>
    <s v="Central level"/>
    <s v="Central"/>
    <n v="0"/>
    <n v="0"/>
    <n v="0"/>
    <n v="0"/>
    <n v="0"/>
    <n v="0"/>
    <n v="0"/>
    <n v="0"/>
    <n v="0"/>
    <n v="0"/>
    <n v="0"/>
    <n v="0"/>
    <n v="0"/>
    <n v="0"/>
    <n v="0"/>
    <n v="0"/>
    <n v="0"/>
    <n v="0"/>
    <n v="0"/>
    <n v="0"/>
    <n v="0"/>
    <x v="6"/>
  </r>
  <r>
    <x v="2"/>
    <x v="65"/>
    <s v="Central level"/>
    <s v="Copperbelt"/>
    <n v="0"/>
    <n v="0"/>
    <n v="0"/>
    <n v="0"/>
    <n v="0"/>
    <n v="0"/>
    <n v="0"/>
    <n v="0"/>
    <n v="0"/>
    <n v="0"/>
    <n v="0"/>
    <n v="0"/>
    <n v="0"/>
    <n v="0"/>
    <n v="0"/>
    <n v="0"/>
    <n v="0"/>
    <n v="0"/>
    <n v="0"/>
    <n v="0"/>
    <n v="0"/>
    <x v="6"/>
  </r>
  <r>
    <x v="2"/>
    <x v="65"/>
    <s v="Central level"/>
    <s v="Eastern"/>
    <n v="0"/>
    <n v="0"/>
    <n v="0"/>
    <n v="0"/>
    <n v="0"/>
    <n v="0"/>
    <n v="0"/>
    <n v="0"/>
    <n v="0"/>
    <n v="0"/>
    <n v="0"/>
    <n v="0"/>
    <n v="0"/>
    <n v="0"/>
    <n v="0"/>
    <n v="0"/>
    <n v="0"/>
    <n v="0"/>
    <n v="0"/>
    <n v="0"/>
    <n v="0"/>
    <x v="6"/>
  </r>
  <r>
    <x v="2"/>
    <x v="65"/>
    <s v="Central level"/>
    <s v="Luapula"/>
    <n v="0"/>
    <n v="0"/>
    <n v="0"/>
    <n v="0"/>
    <n v="0"/>
    <n v="0"/>
    <n v="0"/>
    <n v="0"/>
    <n v="0"/>
    <n v="0"/>
    <n v="0"/>
    <n v="0"/>
    <n v="0"/>
    <n v="0"/>
    <n v="0"/>
    <n v="0"/>
    <n v="0"/>
    <n v="0"/>
    <n v="0"/>
    <n v="0"/>
    <n v="0"/>
    <x v="6"/>
  </r>
  <r>
    <x v="2"/>
    <x v="65"/>
    <s v="Central level"/>
    <s v="Lusaka"/>
    <n v="0"/>
    <n v="0"/>
    <n v="0"/>
    <n v="0"/>
    <n v="0"/>
    <n v="0"/>
    <n v="0"/>
    <n v="0"/>
    <n v="0"/>
    <n v="0"/>
    <n v="0"/>
    <n v="0"/>
    <n v="0"/>
    <n v="0"/>
    <n v="0"/>
    <n v="0"/>
    <n v="0"/>
    <n v="0"/>
    <n v="0"/>
    <n v="0"/>
    <n v="0"/>
    <x v="6"/>
  </r>
  <r>
    <x v="2"/>
    <x v="65"/>
    <s v="Central level"/>
    <s v="Muchinga"/>
    <n v="0"/>
    <n v="0"/>
    <n v="0"/>
    <n v="0"/>
    <n v="0"/>
    <n v="0"/>
    <n v="0"/>
    <n v="0"/>
    <n v="0"/>
    <n v="0"/>
    <n v="0"/>
    <n v="0"/>
    <n v="0"/>
    <n v="0"/>
    <n v="0"/>
    <n v="0"/>
    <n v="0"/>
    <n v="0"/>
    <n v="0"/>
    <n v="0"/>
    <n v="0"/>
    <x v="6"/>
  </r>
  <r>
    <x v="2"/>
    <x v="65"/>
    <s v="Central level"/>
    <s v="Northern"/>
    <n v="0"/>
    <n v="0"/>
    <n v="0"/>
    <n v="0"/>
    <n v="0"/>
    <n v="0"/>
    <n v="0"/>
    <n v="0"/>
    <n v="0"/>
    <n v="0"/>
    <n v="0"/>
    <n v="0"/>
    <n v="0"/>
    <n v="0"/>
    <n v="0"/>
    <n v="0"/>
    <n v="0"/>
    <n v="0"/>
    <n v="0"/>
    <n v="0"/>
    <n v="0"/>
    <x v="6"/>
  </r>
  <r>
    <x v="2"/>
    <x v="65"/>
    <s v="Central level"/>
    <s v="North Western"/>
    <n v="0"/>
    <n v="0"/>
    <n v="0"/>
    <n v="0"/>
    <n v="0"/>
    <n v="0"/>
    <n v="0"/>
    <n v="0"/>
    <n v="0"/>
    <n v="0"/>
    <n v="0"/>
    <n v="0"/>
    <n v="0"/>
    <n v="0"/>
    <n v="0"/>
    <n v="0"/>
    <n v="0"/>
    <n v="0"/>
    <n v="0"/>
    <n v="0"/>
    <n v="0"/>
    <x v="6"/>
  </r>
  <r>
    <x v="2"/>
    <x v="65"/>
    <s v="Central level"/>
    <s v="Southern"/>
    <n v="0"/>
    <n v="0"/>
    <n v="0"/>
    <n v="0"/>
    <n v="0"/>
    <n v="0"/>
    <n v="0"/>
    <n v="0"/>
    <n v="0"/>
    <n v="0"/>
    <n v="0"/>
    <n v="0"/>
    <n v="0"/>
    <n v="0"/>
    <n v="0"/>
    <n v="0"/>
    <n v="0"/>
    <n v="0"/>
    <n v="0"/>
    <n v="0"/>
    <n v="0"/>
    <x v="6"/>
  </r>
  <r>
    <x v="2"/>
    <x v="65"/>
    <s v="Central level"/>
    <s v="Western"/>
    <n v="0"/>
    <n v="0"/>
    <n v="0"/>
    <n v="0"/>
    <n v="0"/>
    <n v="0"/>
    <n v="0"/>
    <n v="0"/>
    <n v="0"/>
    <n v="0"/>
    <n v="0"/>
    <n v="0"/>
    <n v="0"/>
    <n v="0"/>
    <n v="0"/>
    <n v="0"/>
    <n v="0"/>
    <n v="0"/>
    <n v="0"/>
    <n v="0"/>
    <n v="0"/>
    <x v="6"/>
  </r>
  <r>
    <x v="2"/>
    <x v="65"/>
    <s v="Central level"/>
    <n v="0"/>
    <n v="0"/>
    <n v="0"/>
    <n v="0"/>
    <n v="0"/>
    <n v="0"/>
    <n v="0"/>
    <n v="0"/>
    <n v="0"/>
    <n v="0"/>
    <n v="0"/>
    <n v="0"/>
    <n v="0"/>
    <n v="0"/>
    <n v="0"/>
    <n v="0"/>
    <n v="0"/>
    <n v="0"/>
    <n v="0"/>
    <n v="0"/>
    <n v="0"/>
    <n v="0"/>
    <x v="6"/>
  </r>
  <r>
    <x v="2"/>
    <x v="65"/>
    <s v="Central level"/>
    <n v="0"/>
    <n v="0"/>
    <n v="0"/>
    <n v="0"/>
    <n v="0"/>
    <n v="0"/>
    <n v="0"/>
    <n v="0"/>
    <n v="0"/>
    <n v="0"/>
    <n v="0"/>
    <n v="0"/>
    <n v="0"/>
    <n v="0"/>
    <n v="0"/>
    <n v="0"/>
    <n v="0"/>
    <n v="0"/>
    <n v="0"/>
    <n v="0"/>
    <n v="0"/>
    <n v="0"/>
    <x v="6"/>
  </r>
  <r>
    <x v="2"/>
    <x v="65"/>
    <s v="Central level"/>
    <n v="0"/>
    <n v="0"/>
    <n v="0"/>
    <n v="0"/>
    <n v="0"/>
    <n v="0"/>
    <n v="0"/>
    <n v="0"/>
    <n v="0"/>
    <n v="0"/>
    <n v="0"/>
    <n v="0"/>
    <n v="0"/>
    <n v="0"/>
    <n v="0"/>
    <n v="0"/>
    <n v="0"/>
    <n v="0"/>
    <n v="0"/>
    <n v="0"/>
    <n v="0"/>
    <n v="0"/>
    <x v="6"/>
  </r>
  <r>
    <x v="2"/>
    <x v="65"/>
    <s v="Central level"/>
    <n v="0"/>
    <n v="0"/>
    <n v="0"/>
    <n v="0"/>
    <n v="0"/>
    <n v="0"/>
    <n v="0"/>
    <n v="0"/>
    <n v="0"/>
    <n v="0"/>
    <n v="0"/>
    <n v="0"/>
    <n v="0"/>
    <n v="0"/>
    <n v="0"/>
    <n v="0"/>
    <n v="0"/>
    <n v="0"/>
    <n v="0"/>
    <n v="0"/>
    <n v="0"/>
    <n v="0"/>
    <x v="6"/>
  </r>
  <r>
    <x v="2"/>
    <x v="65"/>
    <s v="Central level"/>
    <n v="0"/>
    <n v="0"/>
    <n v="0"/>
    <n v="0"/>
    <n v="0"/>
    <n v="0"/>
    <n v="0"/>
    <n v="0"/>
    <n v="0"/>
    <n v="0"/>
    <n v="0"/>
    <n v="0"/>
    <n v="0"/>
    <n v="0"/>
    <n v="0"/>
    <n v="0"/>
    <n v="0"/>
    <n v="0"/>
    <n v="0"/>
    <n v="0"/>
    <n v="0"/>
    <n v="0"/>
    <x v="6"/>
  </r>
  <r>
    <x v="2"/>
    <x v="65"/>
    <s v="Central level"/>
    <s v="National-level"/>
    <n v="0"/>
    <n v="0"/>
    <n v="0"/>
    <n v="0"/>
    <n v="43200"/>
    <n v="0"/>
    <n v="0"/>
    <n v="0"/>
    <n v="0"/>
    <n v="0"/>
    <n v="43200"/>
    <n v="0"/>
    <n v="0"/>
    <n v="0"/>
    <n v="0"/>
    <n v="43200"/>
    <n v="0"/>
    <n v="0"/>
    <n v="0"/>
    <n v="0"/>
    <n v="0"/>
    <x v="6"/>
  </r>
  <r>
    <x v="2"/>
    <x v="66"/>
    <s v="Central level"/>
    <s v="Central"/>
    <n v="0"/>
    <n v="0"/>
    <n v="0"/>
    <n v="0"/>
    <n v="0"/>
    <n v="0"/>
    <n v="0"/>
    <n v="0"/>
    <n v="0"/>
    <n v="0"/>
    <n v="0"/>
    <n v="0"/>
    <n v="0"/>
    <n v="0"/>
    <n v="0"/>
    <n v="0"/>
    <n v="0"/>
    <n v="0"/>
    <n v="0"/>
    <n v="0"/>
    <n v="0"/>
    <x v="1"/>
  </r>
  <r>
    <x v="2"/>
    <x v="66"/>
    <s v="Central level"/>
    <s v="Copperbelt"/>
    <n v="0"/>
    <n v="0"/>
    <n v="0"/>
    <n v="0"/>
    <n v="0"/>
    <n v="0"/>
    <n v="0"/>
    <n v="0"/>
    <n v="0"/>
    <n v="0"/>
    <n v="0"/>
    <n v="0"/>
    <n v="0"/>
    <n v="0"/>
    <n v="0"/>
    <n v="0"/>
    <n v="0"/>
    <n v="0"/>
    <n v="0"/>
    <n v="0"/>
    <n v="0"/>
    <x v="1"/>
  </r>
  <r>
    <x v="2"/>
    <x v="66"/>
    <s v="Central level"/>
    <s v="Eastern"/>
    <n v="0"/>
    <n v="0"/>
    <n v="0"/>
    <n v="0"/>
    <n v="0"/>
    <n v="0"/>
    <n v="0"/>
    <n v="0"/>
    <n v="0"/>
    <n v="0"/>
    <n v="0"/>
    <n v="0"/>
    <n v="0"/>
    <n v="0"/>
    <n v="0"/>
    <n v="0"/>
    <n v="0"/>
    <n v="0"/>
    <n v="0"/>
    <n v="0"/>
    <n v="0"/>
    <x v="1"/>
  </r>
  <r>
    <x v="2"/>
    <x v="66"/>
    <s v="Central level"/>
    <s v="Luapula"/>
    <n v="0"/>
    <n v="0"/>
    <n v="0"/>
    <n v="0"/>
    <n v="0"/>
    <n v="0"/>
    <n v="0"/>
    <n v="0"/>
    <n v="0"/>
    <n v="0"/>
    <n v="0"/>
    <n v="0"/>
    <n v="0"/>
    <n v="0"/>
    <n v="0"/>
    <n v="0"/>
    <n v="0"/>
    <n v="0"/>
    <n v="0"/>
    <n v="0"/>
    <n v="0"/>
    <x v="1"/>
  </r>
  <r>
    <x v="2"/>
    <x v="66"/>
    <s v="Central level"/>
    <s v="Lusaka"/>
    <n v="0"/>
    <n v="0"/>
    <n v="0"/>
    <n v="0"/>
    <n v="0"/>
    <n v="0"/>
    <n v="0"/>
    <n v="0"/>
    <n v="0"/>
    <n v="0"/>
    <n v="0"/>
    <n v="0"/>
    <n v="0"/>
    <n v="0"/>
    <n v="0"/>
    <n v="0"/>
    <n v="0"/>
    <n v="0"/>
    <n v="0"/>
    <n v="0"/>
    <n v="0"/>
    <x v="1"/>
  </r>
  <r>
    <x v="2"/>
    <x v="66"/>
    <s v="Central level"/>
    <s v="Muchinga"/>
    <n v="0"/>
    <n v="0"/>
    <n v="0"/>
    <n v="0"/>
    <n v="0"/>
    <n v="0"/>
    <n v="0"/>
    <n v="0"/>
    <n v="0"/>
    <n v="0"/>
    <n v="0"/>
    <n v="0"/>
    <n v="0"/>
    <n v="0"/>
    <n v="0"/>
    <n v="0"/>
    <n v="0"/>
    <n v="0"/>
    <n v="0"/>
    <n v="0"/>
    <n v="0"/>
    <x v="1"/>
  </r>
  <r>
    <x v="2"/>
    <x v="66"/>
    <s v="Central level"/>
    <s v="Northern"/>
    <n v="0"/>
    <n v="0"/>
    <n v="0"/>
    <n v="0"/>
    <n v="0"/>
    <n v="0"/>
    <n v="0"/>
    <n v="0"/>
    <n v="0"/>
    <n v="0"/>
    <n v="0"/>
    <n v="0"/>
    <n v="0"/>
    <n v="0"/>
    <n v="0"/>
    <n v="0"/>
    <n v="0"/>
    <n v="0"/>
    <n v="0"/>
    <n v="0"/>
    <n v="0"/>
    <x v="1"/>
  </r>
  <r>
    <x v="2"/>
    <x v="66"/>
    <s v="Central level"/>
    <s v="North Western"/>
    <n v="0"/>
    <n v="0"/>
    <n v="0"/>
    <n v="0"/>
    <n v="0"/>
    <n v="0"/>
    <n v="0"/>
    <n v="0"/>
    <n v="0"/>
    <n v="0"/>
    <n v="0"/>
    <n v="0"/>
    <n v="0"/>
    <n v="0"/>
    <n v="0"/>
    <n v="0"/>
    <n v="0"/>
    <n v="0"/>
    <n v="0"/>
    <n v="0"/>
    <n v="0"/>
    <x v="1"/>
  </r>
  <r>
    <x v="2"/>
    <x v="66"/>
    <s v="Central level"/>
    <s v="Southern"/>
    <n v="0"/>
    <n v="0"/>
    <n v="0"/>
    <n v="0"/>
    <n v="0"/>
    <n v="0"/>
    <n v="0"/>
    <n v="0"/>
    <n v="0"/>
    <n v="0"/>
    <n v="0"/>
    <n v="0"/>
    <n v="0"/>
    <n v="0"/>
    <n v="0"/>
    <n v="0"/>
    <n v="0"/>
    <n v="0"/>
    <n v="0"/>
    <n v="0"/>
    <n v="0"/>
    <x v="1"/>
  </r>
  <r>
    <x v="2"/>
    <x v="66"/>
    <s v="Central level"/>
    <s v="Western"/>
    <n v="0"/>
    <n v="0"/>
    <n v="0"/>
    <n v="0"/>
    <n v="0"/>
    <n v="0"/>
    <n v="0"/>
    <n v="0"/>
    <n v="0"/>
    <n v="0"/>
    <n v="0"/>
    <n v="0"/>
    <n v="0"/>
    <n v="0"/>
    <n v="0"/>
    <n v="0"/>
    <n v="0"/>
    <n v="0"/>
    <n v="0"/>
    <n v="0"/>
    <n v="0"/>
    <x v="1"/>
  </r>
  <r>
    <x v="2"/>
    <x v="66"/>
    <s v="Central level"/>
    <n v="0"/>
    <n v="0"/>
    <n v="0"/>
    <n v="0"/>
    <n v="0"/>
    <n v="0"/>
    <n v="0"/>
    <n v="0"/>
    <n v="0"/>
    <n v="0"/>
    <n v="0"/>
    <n v="0"/>
    <n v="0"/>
    <n v="0"/>
    <n v="0"/>
    <n v="0"/>
    <n v="0"/>
    <n v="0"/>
    <n v="0"/>
    <n v="0"/>
    <n v="0"/>
    <n v="0"/>
    <x v="1"/>
  </r>
  <r>
    <x v="2"/>
    <x v="66"/>
    <s v="Central level"/>
    <n v="0"/>
    <n v="0"/>
    <n v="0"/>
    <n v="0"/>
    <n v="0"/>
    <n v="0"/>
    <n v="0"/>
    <n v="0"/>
    <n v="0"/>
    <n v="0"/>
    <n v="0"/>
    <n v="0"/>
    <n v="0"/>
    <n v="0"/>
    <n v="0"/>
    <n v="0"/>
    <n v="0"/>
    <n v="0"/>
    <n v="0"/>
    <n v="0"/>
    <n v="0"/>
    <n v="0"/>
    <x v="1"/>
  </r>
  <r>
    <x v="2"/>
    <x v="66"/>
    <s v="Central level"/>
    <n v="0"/>
    <n v="0"/>
    <n v="0"/>
    <n v="0"/>
    <n v="0"/>
    <n v="0"/>
    <n v="0"/>
    <n v="0"/>
    <n v="0"/>
    <n v="0"/>
    <n v="0"/>
    <n v="0"/>
    <n v="0"/>
    <n v="0"/>
    <n v="0"/>
    <n v="0"/>
    <n v="0"/>
    <n v="0"/>
    <n v="0"/>
    <n v="0"/>
    <n v="0"/>
    <n v="0"/>
    <x v="1"/>
  </r>
  <r>
    <x v="2"/>
    <x v="66"/>
    <s v="Central level"/>
    <n v="0"/>
    <n v="0"/>
    <n v="0"/>
    <n v="0"/>
    <n v="0"/>
    <n v="0"/>
    <n v="0"/>
    <n v="0"/>
    <n v="0"/>
    <n v="0"/>
    <n v="0"/>
    <n v="0"/>
    <n v="0"/>
    <n v="0"/>
    <n v="0"/>
    <n v="0"/>
    <n v="0"/>
    <n v="0"/>
    <n v="0"/>
    <n v="0"/>
    <n v="0"/>
    <n v="0"/>
    <x v="1"/>
  </r>
  <r>
    <x v="2"/>
    <x v="66"/>
    <s v="Central level"/>
    <n v="0"/>
    <n v="0"/>
    <n v="0"/>
    <n v="0"/>
    <n v="0"/>
    <n v="0"/>
    <n v="0"/>
    <n v="0"/>
    <n v="0"/>
    <n v="0"/>
    <n v="0"/>
    <n v="0"/>
    <n v="0"/>
    <n v="0"/>
    <n v="0"/>
    <n v="0"/>
    <n v="0"/>
    <n v="0"/>
    <n v="0"/>
    <n v="0"/>
    <n v="0"/>
    <n v="0"/>
    <x v="1"/>
  </r>
  <r>
    <x v="2"/>
    <x v="66"/>
    <s v="Central level"/>
    <s v="National-level"/>
    <n v="800"/>
    <n v="800"/>
    <n v="800"/>
    <n v="800"/>
    <n v="800"/>
    <n v="800"/>
    <n v="800"/>
    <n v="800"/>
    <n v="0"/>
    <n v="0"/>
    <n v="6400"/>
    <n v="800"/>
    <n v="800"/>
    <n v="800"/>
    <n v="800"/>
    <n v="800"/>
    <n v="800"/>
    <n v="800"/>
    <n v="800"/>
    <n v="0"/>
    <n v="0"/>
    <x v="1"/>
  </r>
  <r>
    <x v="2"/>
    <x v="67"/>
    <s v="Central level"/>
    <s v="Central"/>
    <n v="0"/>
    <n v="0"/>
    <n v="0"/>
    <n v="0"/>
    <n v="0"/>
    <n v="0"/>
    <n v="0"/>
    <n v="0"/>
    <n v="0"/>
    <n v="0"/>
    <n v="0"/>
    <n v="0"/>
    <n v="0"/>
    <n v="0"/>
    <n v="0"/>
    <n v="0"/>
    <n v="0"/>
    <n v="0"/>
    <n v="0"/>
    <n v="0"/>
    <n v="0"/>
    <x v="6"/>
  </r>
  <r>
    <x v="2"/>
    <x v="67"/>
    <s v="Central level"/>
    <s v="Copperbelt"/>
    <n v="0"/>
    <n v="0"/>
    <n v="0"/>
    <n v="0"/>
    <n v="0"/>
    <n v="0"/>
    <n v="0"/>
    <n v="0"/>
    <n v="0"/>
    <n v="0"/>
    <n v="0"/>
    <n v="0"/>
    <n v="0"/>
    <n v="0"/>
    <n v="0"/>
    <n v="0"/>
    <n v="0"/>
    <n v="0"/>
    <n v="0"/>
    <n v="0"/>
    <n v="0"/>
    <x v="6"/>
  </r>
  <r>
    <x v="2"/>
    <x v="67"/>
    <s v="Central level"/>
    <s v="Eastern"/>
    <n v="0"/>
    <n v="0"/>
    <n v="0"/>
    <n v="0"/>
    <n v="0"/>
    <n v="0"/>
    <n v="0"/>
    <n v="0"/>
    <n v="0"/>
    <n v="0"/>
    <n v="0"/>
    <n v="0"/>
    <n v="0"/>
    <n v="0"/>
    <n v="0"/>
    <n v="0"/>
    <n v="0"/>
    <n v="0"/>
    <n v="0"/>
    <n v="0"/>
    <n v="0"/>
    <x v="6"/>
  </r>
  <r>
    <x v="2"/>
    <x v="67"/>
    <s v="Central level"/>
    <s v="Luapula"/>
    <n v="0"/>
    <n v="0"/>
    <n v="0"/>
    <n v="0"/>
    <n v="0"/>
    <n v="0"/>
    <n v="0"/>
    <n v="0"/>
    <n v="0"/>
    <n v="0"/>
    <n v="0"/>
    <n v="0"/>
    <n v="0"/>
    <n v="0"/>
    <n v="0"/>
    <n v="0"/>
    <n v="0"/>
    <n v="0"/>
    <n v="0"/>
    <n v="0"/>
    <n v="0"/>
    <x v="6"/>
  </r>
  <r>
    <x v="2"/>
    <x v="67"/>
    <s v="Central level"/>
    <s v="Lusaka"/>
    <n v="0"/>
    <n v="0"/>
    <n v="0"/>
    <n v="0"/>
    <n v="0"/>
    <n v="0"/>
    <n v="0"/>
    <n v="0"/>
    <n v="0"/>
    <n v="0"/>
    <n v="0"/>
    <n v="0"/>
    <n v="0"/>
    <n v="0"/>
    <n v="0"/>
    <n v="0"/>
    <n v="0"/>
    <n v="0"/>
    <n v="0"/>
    <n v="0"/>
    <n v="0"/>
    <x v="6"/>
  </r>
  <r>
    <x v="2"/>
    <x v="67"/>
    <s v="Central level"/>
    <s v="Muchinga"/>
    <n v="0"/>
    <n v="0"/>
    <n v="0"/>
    <n v="0"/>
    <n v="0"/>
    <n v="0"/>
    <n v="0"/>
    <n v="0"/>
    <n v="0"/>
    <n v="0"/>
    <n v="0"/>
    <n v="0"/>
    <n v="0"/>
    <n v="0"/>
    <n v="0"/>
    <n v="0"/>
    <n v="0"/>
    <n v="0"/>
    <n v="0"/>
    <n v="0"/>
    <n v="0"/>
    <x v="6"/>
  </r>
  <r>
    <x v="2"/>
    <x v="67"/>
    <s v="Central level"/>
    <s v="Northern"/>
    <n v="0"/>
    <n v="0"/>
    <n v="0"/>
    <n v="0"/>
    <n v="0"/>
    <n v="0"/>
    <n v="0"/>
    <n v="0"/>
    <n v="0"/>
    <n v="0"/>
    <n v="0"/>
    <n v="0"/>
    <n v="0"/>
    <n v="0"/>
    <n v="0"/>
    <n v="0"/>
    <n v="0"/>
    <n v="0"/>
    <n v="0"/>
    <n v="0"/>
    <n v="0"/>
    <x v="6"/>
  </r>
  <r>
    <x v="2"/>
    <x v="67"/>
    <s v="Central level"/>
    <s v="North Western"/>
    <n v="0"/>
    <n v="0"/>
    <n v="0"/>
    <n v="0"/>
    <n v="0"/>
    <n v="0"/>
    <n v="0"/>
    <n v="0"/>
    <n v="0"/>
    <n v="0"/>
    <n v="0"/>
    <n v="0"/>
    <n v="0"/>
    <n v="0"/>
    <n v="0"/>
    <n v="0"/>
    <n v="0"/>
    <n v="0"/>
    <n v="0"/>
    <n v="0"/>
    <n v="0"/>
    <x v="6"/>
  </r>
  <r>
    <x v="2"/>
    <x v="67"/>
    <s v="Central level"/>
    <s v="Southern"/>
    <n v="0"/>
    <n v="0"/>
    <n v="0"/>
    <n v="0"/>
    <n v="0"/>
    <n v="0"/>
    <n v="0"/>
    <n v="0"/>
    <n v="0"/>
    <n v="0"/>
    <n v="0"/>
    <n v="0"/>
    <n v="0"/>
    <n v="0"/>
    <n v="0"/>
    <n v="0"/>
    <n v="0"/>
    <n v="0"/>
    <n v="0"/>
    <n v="0"/>
    <n v="0"/>
    <x v="6"/>
  </r>
  <r>
    <x v="2"/>
    <x v="67"/>
    <s v="Central level"/>
    <s v="Western"/>
    <n v="0"/>
    <n v="0"/>
    <n v="0"/>
    <n v="0"/>
    <n v="0"/>
    <n v="0"/>
    <n v="0"/>
    <n v="0"/>
    <n v="0"/>
    <n v="0"/>
    <n v="0"/>
    <n v="0"/>
    <n v="0"/>
    <n v="0"/>
    <n v="0"/>
    <n v="0"/>
    <n v="0"/>
    <n v="0"/>
    <n v="0"/>
    <n v="0"/>
    <n v="0"/>
    <x v="6"/>
  </r>
  <r>
    <x v="2"/>
    <x v="67"/>
    <s v="Central level"/>
    <n v="0"/>
    <n v="0"/>
    <n v="0"/>
    <n v="0"/>
    <n v="0"/>
    <n v="0"/>
    <n v="0"/>
    <n v="0"/>
    <n v="0"/>
    <n v="0"/>
    <n v="0"/>
    <n v="0"/>
    <n v="0"/>
    <n v="0"/>
    <n v="0"/>
    <n v="0"/>
    <n v="0"/>
    <n v="0"/>
    <n v="0"/>
    <n v="0"/>
    <n v="0"/>
    <n v="0"/>
    <x v="6"/>
  </r>
  <r>
    <x v="2"/>
    <x v="67"/>
    <s v="Central level"/>
    <n v="0"/>
    <n v="0"/>
    <n v="0"/>
    <n v="0"/>
    <n v="0"/>
    <n v="0"/>
    <n v="0"/>
    <n v="0"/>
    <n v="0"/>
    <n v="0"/>
    <n v="0"/>
    <n v="0"/>
    <n v="0"/>
    <n v="0"/>
    <n v="0"/>
    <n v="0"/>
    <n v="0"/>
    <n v="0"/>
    <n v="0"/>
    <n v="0"/>
    <n v="0"/>
    <n v="0"/>
    <x v="6"/>
  </r>
  <r>
    <x v="2"/>
    <x v="67"/>
    <s v="Central level"/>
    <n v="0"/>
    <n v="0"/>
    <n v="0"/>
    <n v="0"/>
    <n v="0"/>
    <n v="0"/>
    <n v="0"/>
    <n v="0"/>
    <n v="0"/>
    <n v="0"/>
    <n v="0"/>
    <n v="0"/>
    <n v="0"/>
    <n v="0"/>
    <n v="0"/>
    <n v="0"/>
    <n v="0"/>
    <n v="0"/>
    <n v="0"/>
    <n v="0"/>
    <n v="0"/>
    <n v="0"/>
    <x v="6"/>
  </r>
  <r>
    <x v="2"/>
    <x v="67"/>
    <s v="Central level"/>
    <n v="0"/>
    <n v="0"/>
    <n v="0"/>
    <n v="0"/>
    <n v="0"/>
    <n v="0"/>
    <n v="0"/>
    <n v="0"/>
    <n v="0"/>
    <n v="0"/>
    <n v="0"/>
    <n v="0"/>
    <n v="0"/>
    <n v="0"/>
    <n v="0"/>
    <n v="0"/>
    <n v="0"/>
    <n v="0"/>
    <n v="0"/>
    <n v="0"/>
    <n v="0"/>
    <n v="0"/>
    <x v="6"/>
  </r>
  <r>
    <x v="2"/>
    <x v="67"/>
    <s v="Central level"/>
    <n v="0"/>
    <n v="0"/>
    <n v="0"/>
    <n v="0"/>
    <n v="0"/>
    <n v="0"/>
    <n v="0"/>
    <n v="0"/>
    <n v="0"/>
    <n v="0"/>
    <n v="0"/>
    <n v="0"/>
    <n v="0"/>
    <n v="0"/>
    <n v="0"/>
    <n v="0"/>
    <n v="0"/>
    <n v="0"/>
    <n v="0"/>
    <n v="0"/>
    <n v="0"/>
    <n v="0"/>
    <x v="6"/>
  </r>
  <r>
    <x v="2"/>
    <x v="67"/>
    <s v="Central level"/>
    <s v="National-level"/>
    <n v="51916.896000000001"/>
    <n v="0"/>
    <n v="0"/>
    <n v="0"/>
    <n v="0"/>
    <n v="0"/>
    <n v="0"/>
    <n v="0"/>
    <n v="0"/>
    <n v="0"/>
    <n v="51916.896000000001"/>
    <n v="51916.896000000001"/>
    <n v="0"/>
    <n v="0"/>
    <n v="0"/>
    <n v="0"/>
    <n v="0"/>
    <n v="0"/>
    <n v="0"/>
    <n v="0"/>
    <n v="0"/>
    <x v="6"/>
  </r>
  <r>
    <x v="2"/>
    <x v="68"/>
    <s v="Districts"/>
    <s v="Central"/>
    <n v="0"/>
    <n v="210000"/>
    <n v="210000"/>
    <n v="210000"/>
    <n v="210000"/>
    <n v="210000"/>
    <n v="210000"/>
    <n v="210000"/>
    <n v="0"/>
    <n v="0"/>
    <n v="1470000"/>
    <n v="0"/>
    <n v="210000"/>
    <n v="210000"/>
    <n v="210000"/>
    <n v="210000"/>
    <n v="210000"/>
    <n v="210000"/>
    <n v="210000"/>
    <n v="0"/>
    <n v="0"/>
    <x v="6"/>
  </r>
  <r>
    <x v="2"/>
    <x v="68"/>
    <s v="Districts"/>
    <s v="Copperbelt"/>
    <n v="0"/>
    <n v="350000"/>
    <n v="350000"/>
    <n v="350000"/>
    <n v="350000"/>
    <n v="350000"/>
    <n v="350000"/>
    <n v="350000"/>
    <n v="0"/>
    <n v="0"/>
    <n v="2450000"/>
    <n v="0"/>
    <n v="350000"/>
    <n v="350000"/>
    <n v="350000"/>
    <n v="350000"/>
    <n v="350000"/>
    <n v="350000"/>
    <n v="350000"/>
    <n v="0"/>
    <n v="0"/>
    <x v="6"/>
  </r>
  <r>
    <x v="2"/>
    <x v="68"/>
    <s v="Districts"/>
    <s v="Eastern"/>
    <n v="0"/>
    <n v="245000"/>
    <n v="245000"/>
    <n v="245000"/>
    <n v="245000"/>
    <n v="245000"/>
    <n v="245000"/>
    <n v="245000"/>
    <n v="0"/>
    <n v="0"/>
    <n v="1715000"/>
    <n v="0"/>
    <n v="245000"/>
    <n v="245000"/>
    <n v="245000"/>
    <n v="245000"/>
    <n v="245000"/>
    <n v="245000"/>
    <n v="245000"/>
    <n v="0"/>
    <n v="0"/>
    <x v="6"/>
  </r>
  <r>
    <x v="2"/>
    <x v="68"/>
    <s v="Districts"/>
    <s v="Luapula"/>
    <n v="0"/>
    <n v="245000"/>
    <n v="245000"/>
    <n v="245000"/>
    <n v="245000"/>
    <n v="245000"/>
    <n v="245000"/>
    <n v="245000"/>
    <n v="0"/>
    <n v="0"/>
    <n v="1715000"/>
    <n v="0"/>
    <n v="245000"/>
    <n v="245000"/>
    <n v="245000"/>
    <n v="245000"/>
    <n v="245000"/>
    <n v="245000"/>
    <n v="245000"/>
    <n v="0"/>
    <n v="0"/>
    <x v="6"/>
  </r>
  <r>
    <x v="2"/>
    <x v="68"/>
    <s v="Districts"/>
    <s v="Lusaka"/>
    <n v="0"/>
    <n v="140000"/>
    <n v="140000"/>
    <n v="140000"/>
    <n v="140000"/>
    <n v="140000"/>
    <n v="140000"/>
    <n v="140000"/>
    <n v="0"/>
    <n v="0"/>
    <n v="980000"/>
    <n v="0"/>
    <n v="140000"/>
    <n v="140000"/>
    <n v="140000"/>
    <n v="140000"/>
    <n v="140000"/>
    <n v="140000"/>
    <n v="140000"/>
    <n v="0"/>
    <n v="0"/>
    <x v="6"/>
  </r>
  <r>
    <x v="2"/>
    <x v="68"/>
    <s v="Districts"/>
    <s v="Muchinga"/>
    <n v="0"/>
    <n v="175000"/>
    <n v="175000"/>
    <n v="175000"/>
    <n v="175000"/>
    <n v="175000"/>
    <n v="175000"/>
    <n v="175000"/>
    <n v="0"/>
    <n v="0"/>
    <n v="1225000"/>
    <n v="0"/>
    <n v="175000"/>
    <n v="175000"/>
    <n v="175000"/>
    <n v="175000"/>
    <n v="175000"/>
    <n v="175000"/>
    <n v="175000"/>
    <n v="0"/>
    <n v="0"/>
    <x v="6"/>
  </r>
  <r>
    <x v="2"/>
    <x v="68"/>
    <s v="Districts"/>
    <s v="Northern"/>
    <n v="0"/>
    <n v="280000"/>
    <n v="280000"/>
    <n v="280000"/>
    <n v="280000"/>
    <n v="280000"/>
    <n v="280000"/>
    <n v="280000"/>
    <n v="0"/>
    <n v="0"/>
    <n v="1960000"/>
    <n v="0"/>
    <n v="280000"/>
    <n v="280000"/>
    <n v="280000"/>
    <n v="280000"/>
    <n v="280000"/>
    <n v="280000"/>
    <n v="280000"/>
    <n v="0"/>
    <n v="0"/>
    <x v="6"/>
  </r>
  <r>
    <x v="2"/>
    <x v="68"/>
    <s v="Districts"/>
    <s v="North Western"/>
    <n v="0"/>
    <n v="245000"/>
    <n v="245000"/>
    <n v="245000"/>
    <n v="245000"/>
    <n v="245000"/>
    <n v="245000"/>
    <n v="245000"/>
    <n v="0"/>
    <n v="0"/>
    <n v="1715000"/>
    <n v="0"/>
    <n v="245000"/>
    <n v="245000"/>
    <n v="245000"/>
    <n v="245000"/>
    <n v="245000"/>
    <n v="245000"/>
    <n v="245000"/>
    <n v="0"/>
    <n v="0"/>
    <x v="6"/>
  </r>
  <r>
    <x v="2"/>
    <x v="68"/>
    <s v="Districts"/>
    <s v="Southern"/>
    <n v="0"/>
    <n v="385000.00000000006"/>
    <n v="385000.00000000006"/>
    <n v="385000.00000000006"/>
    <n v="385000.00000000006"/>
    <n v="385000.00000000006"/>
    <n v="385000.00000000006"/>
    <n v="385000.00000000006"/>
    <n v="0"/>
    <n v="0"/>
    <n v="2695000.0000000005"/>
    <n v="0"/>
    <n v="385000.00000000006"/>
    <n v="385000.00000000006"/>
    <n v="385000.00000000006"/>
    <n v="385000.00000000006"/>
    <n v="385000.00000000006"/>
    <n v="385000.00000000006"/>
    <n v="385000.00000000006"/>
    <n v="0"/>
    <n v="0"/>
    <x v="6"/>
  </r>
  <r>
    <x v="2"/>
    <x v="68"/>
    <s v="Districts"/>
    <s v="Western"/>
    <n v="0"/>
    <n v="245000"/>
    <n v="245000"/>
    <n v="245000"/>
    <n v="245000"/>
    <n v="245000"/>
    <n v="245000"/>
    <n v="245000"/>
    <n v="0"/>
    <n v="0"/>
    <n v="1715000"/>
    <n v="0"/>
    <n v="245000"/>
    <n v="245000"/>
    <n v="245000"/>
    <n v="245000"/>
    <n v="245000"/>
    <n v="245000"/>
    <n v="245000"/>
    <n v="0"/>
    <n v="0"/>
    <x v="6"/>
  </r>
  <r>
    <x v="2"/>
    <x v="68"/>
    <s v="Districts"/>
    <n v="0"/>
    <n v="0"/>
    <n v="0"/>
    <n v="0"/>
    <n v="0"/>
    <n v="0"/>
    <n v="0"/>
    <n v="0"/>
    <n v="0"/>
    <n v="0"/>
    <n v="0"/>
    <n v="0"/>
    <n v="0"/>
    <n v="0"/>
    <n v="0"/>
    <n v="0"/>
    <n v="0"/>
    <n v="0"/>
    <n v="0"/>
    <n v="0"/>
    <n v="0"/>
    <n v="0"/>
    <x v="6"/>
  </r>
  <r>
    <x v="2"/>
    <x v="68"/>
    <s v="Districts"/>
    <n v="0"/>
    <n v="0"/>
    <n v="0"/>
    <n v="0"/>
    <n v="0"/>
    <n v="0"/>
    <n v="0"/>
    <n v="0"/>
    <n v="0"/>
    <n v="0"/>
    <n v="0"/>
    <n v="0"/>
    <n v="0"/>
    <n v="0"/>
    <n v="0"/>
    <n v="0"/>
    <n v="0"/>
    <n v="0"/>
    <n v="0"/>
    <n v="0"/>
    <n v="0"/>
    <n v="0"/>
    <x v="6"/>
  </r>
  <r>
    <x v="2"/>
    <x v="68"/>
    <s v="Districts"/>
    <n v="0"/>
    <n v="0"/>
    <n v="0"/>
    <n v="0"/>
    <n v="0"/>
    <n v="0"/>
    <n v="0"/>
    <n v="0"/>
    <n v="0"/>
    <n v="0"/>
    <n v="0"/>
    <n v="0"/>
    <n v="0"/>
    <n v="0"/>
    <n v="0"/>
    <n v="0"/>
    <n v="0"/>
    <n v="0"/>
    <n v="0"/>
    <n v="0"/>
    <n v="0"/>
    <n v="0"/>
    <x v="6"/>
  </r>
  <r>
    <x v="2"/>
    <x v="68"/>
    <s v="Districts"/>
    <n v="0"/>
    <n v="0"/>
    <n v="0"/>
    <n v="0"/>
    <n v="0"/>
    <n v="0"/>
    <n v="0"/>
    <n v="0"/>
    <n v="0"/>
    <n v="0"/>
    <n v="0"/>
    <n v="0"/>
    <n v="0"/>
    <n v="0"/>
    <n v="0"/>
    <n v="0"/>
    <n v="0"/>
    <n v="0"/>
    <n v="0"/>
    <n v="0"/>
    <n v="0"/>
    <n v="0"/>
    <x v="6"/>
  </r>
  <r>
    <x v="2"/>
    <x v="68"/>
    <s v="Districts"/>
    <n v="0"/>
    <n v="0"/>
    <n v="0"/>
    <n v="0"/>
    <n v="0"/>
    <n v="0"/>
    <n v="0"/>
    <n v="0"/>
    <n v="0"/>
    <n v="0"/>
    <n v="0"/>
    <n v="0"/>
    <n v="0"/>
    <n v="0"/>
    <n v="0"/>
    <n v="0"/>
    <n v="0"/>
    <n v="0"/>
    <n v="0"/>
    <n v="0"/>
    <n v="0"/>
    <n v="0"/>
    <x v="6"/>
  </r>
  <r>
    <x v="2"/>
    <x v="68"/>
    <s v="Districts"/>
    <s v="National-level"/>
    <n v="0"/>
    <n v="0"/>
    <n v="0"/>
    <n v="0"/>
    <n v="0"/>
    <n v="0"/>
    <n v="0"/>
    <n v="0"/>
    <n v="0"/>
    <n v="0"/>
    <n v="0"/>
    <n v="0"/>
    <n v="0"/>
    <n v="0"/>
    <n v="0"/>
    <n v="0"/>
    <n v="0"/>
    <n v="0"/>
    <n v="0"/>
    <n v="0"/>
    <n v="0"/>
    <x v="6"/>
  </r>
  <r>
    <x v="2"/>
    <x v="69"/>
    <s v="Evenly by province/region"/>
    <s v="Central"/>
    <n v="0"/>
    <n v="8673.2991999999995"/>
    <n v="0"/>
    <n v="0"/>
    <n v="8673.2991999999995"/>
    <n v="0"/>
    <n v="0"/>
    <n v="0"/>
    <n v="0"/>
    <n v="0"/>
    <n v="17346.598399999999"/>
    <n v="0"/>
    <n v="8673.2991999999995"/>
    <n v="0"/>
    <n v="0"/>
    <n v="8673.2991999999995"/>
    <n v="0"/>
    <n v="0"/>
    <n v="0"/>
    <n v="0"/>
    <n v="0"/>
    <x v="6"/>
  </r>
  <r>
    <x v="2"/>
    <x v="69"/>
    <s v="Evenly by province/region"/>
    <s v="Copperbelt"/>
    <n v="0"/>
    <n v="8673.2991999999995"/>
    <n v="0"/>
    <n v="0"/>
    <n v="8673.2991999999995"/>
    <n v="0"/>
    <n v="0"/>
    <n v="0"/>
    <n v="0"/>
    <n v="0"/>
    <n v="17346.598399999999"/>
    <n v="0"/>
    <n v="8673.2991999999995"/>
    <n v="0"/>
    <n v="0"/>
    <n v="8673.2991999999995"/>
    <n v="0"/>
    <n v="0"/>
    <n v="0"/>
    <n v="0"/>
    <n v="0"/>
    <x v="6"/>
  </r>
  <r>
    <x v="2"/>
    <x v="69"/>
    <s v="Evenly by province/region"/>
    <s v="Eastern"/>
    <n v="0"/>
    <n v="8673.2991999999995"/>
    <n v="0"/>
    <n v="0"/>
    <n v="8673.2991999999995"/>
    <n v="0"/>
    <n v="0"/>
    <n v="0"/>
    <n v="0"/>
    <n v="0"/>
    <n v="17346.598399999999"/>
    <n v="0"/>
    <n v="8673.2991999999995"/>
    <n v="0"/>
    <n v="0"/>
    <n v="8673.2991999999995"/>
    <n v="0"/>
    <n v="0"/>
    <n v="0"/>
    <n v="0"/>
    <n v="0"/>
    <x v="6"/>
  </r>
  <r>
    <x v="2"/>
    <x v="69"/>
    <s v="Evenly by province/region"/>
    <s v="Luapula"/>
    <n v="0"/>
    <n v="8673.2991999999995"/>
    <n v="0"/>
    <n v="0"/>
    <n v="8673.2991999999995"/>
    <n v="0"/>
    <n v="0"/>
    <n v="0"/>
    <n v="0"/>
    <n v="0"/>
    <n v="17346.598399999999"/>
    <n v="0"/>
    <n v="8673.2991999999995"/>
    <n v="0"/>
    <n v="0"/>
    <n v="8673.2991999999995"/>
    <n v="0"/>
    <n v="0"/>
    <n v="0"/>
    <n v="0"/>
    <n v="0"/>
    <x v="6"/>
  </r>
  <r>
    <x v="2"/>
    <x v="69"/>
    <s v="Evenly by province/region"/>
    <s v="Lusaka"/>
    <n v="0"/>
    <n v="8673.2991999999995"/>
    <n v="0"/>
    <n v="0"/>
    <n v="8673.2991999999995"/>
    <n v="0"/>
    <n v="0"/>
    <n v="0"/>
    <n v="0"/>
    <n v="0"/>
    <n v="17346.598399999999"/>
    <n v="0"/>
    <n v="8673.2991999999995"/>
    <n v="0"/>
    <n v="0"/>
    <n v="8673.2991999999995"/>
    <n v="0"/>
    <n v="0"/>
    <n v="0"/>
    <n v="0"/>
    <n v="0"/>
    <x v="6"/>
  </r>
  <r>
    <x v="2"/>
    <x v="69"/>
    <s v="Evenly by province/region"/>
    <s v="Muchinga"/>
    <n v="0"/>
    <n v="8673.2991999999995"/>
    <n v="0"/>
    <n v="0"/>
    <n v="8673.2991999999995"/>
    <n v="0"/>
    <n v="0"/>
    <n v="0"/>
    <n v="0"/>
    <n v="0"/>
    <n v="17346.598399999999"/>
    <n v="0"/>
    <n v="8673.2991999999995"/>
    <n v="0"/>
    <n v="0"/>
    <n v="8673.2991999999995"/>
    <n v="0"/>
    <n v="0"/>
    <n v="0"/>
    <n v="0"/>
    <n v="0"/>
    <x v="6"/>
  </r>
  <r>
    <x v="2"/>
    <x v="69"/>
    <s v="Evenly by province/region"/>
    <s v="Northern"/>
    <n v="0"/>
    <n v="8673.2991999999995"/>
    <n v="0"/>
    <n v="0"/>
    <n v="8673.2991999999995"/>
    <n v="0"/>
    <n v="0"/>
    <n v="0"/>
    <n v="0"/>
    <n v="0"/>
    <n v="17346.598399999999"/>
    <n v="0"/>
    <n v="8673.2991999999995"/>
    <n v="0"/>
    <n v="0"/>
    <n v="8673.2991999999995"/>
    <n v="0"/>
    <n v="0"/>
    <n v="0"/>
    <n v="0"/>
    <n v="0"/>
    <x v="6"/>
  </r>
  <r>
    <x v="2"/>
    <x v="69"/>
    <s v="Evenly by province/region"/>
    <s v="North Western"/>
    <n v="0"/>
    <n v="8673.2991999999995"/>
    <n v="0"/>
    <n v="0"/>
    <n v="8673.2991999999995"/>
    <n v="0"/>
    <n v="0"/>
    <n v="0"/>
    <n v="0"/>
    <n v="0"/>
    <n v="17346.598399999999"/>
    <n v="0"/>
    <n v="8673.2991999999995"/>
    <n v="0"/>
    <n v="0"/>
    <n v="8673.2991999999995"/>
    <n v="0"/>
    <n v="0"/>
    <n v="0"/>
    <n v="0"/>
    <n v="0"/>
    <x v="6"/>
  </r>
  <r>
    <x v="2"/>
    <x v="69"/>
    <s v="Evenly by province/region"/>
    <s v="Southern"/>
    <n v="0"/>
    <n v="8673.2991999999995"/>
    <n v="0"/>
    <n v="0"/>
    <n v="8673.2991999999995"/>
    <n v="0"/>
    <n v="0"/>
    <n v="0"/>
    <n v="0"/>
    <n v="0"/>
    <n v="17346.598399999999"/>
    <n v="0"/>
    <n v="8673.2991999999995"/>
    <n v="0"/>
    <n v="0"/>
    <n v="8673.2991999999995"/>
    <n v="0"/>
    <n v="0"/>
    <n v="0"/>
    <n v="0"/>
    <n v="0"/>
    <x v="6"/>
  </r>
  <r>
    <x v="2"/>
    <x v="69"/>
    <s v="Evenly by province/region"/>
    <s v="Western"/>
    <n v="0"/>
    <n v="8673.2991999999995"/>
    <n v="0"/>
    <n v="0"/>
    <n v="8673.2991999999995"/>
    <n v="0"/>
    <n v="0"/>
    <n v="0"/>
    <n v="0"/>
    <n v="0"/>
    <n v="17346.598399999999"/>
    <n v="0"/>
    <n v="8673.2991999999995"/>
    <n v="0"/>
    <n v="0"/>
    <n v="8673.2991999999995"/>
    <n v="0"/>
    <n v="0"/>
    <n v="0"/>
    <n v="0"/>
    <n v="0"/>
    <x v="6"/>
  </r>
  <r>
    <x v="2"/>
    <x v="69"/>
    <s v="Evenly by province/region"/>
    <n v="0"/>
    <n v="0"/>
    <n v="0"/>
    <n v="0"/>
    <n v="0"/>
    <n v="0"/>
    <n v="0"/>
    <n v="0"/>
    <n v="0"/>
    <n v="0"/>
    <n v="0"/>
    <n v="0"/>
    <n v="0"/>
    <n v="0"/>
    <n v="0"/>
    <n v="0"/>
    <n v="0"/>
    <n v="0"/>
    <n v="0"/>
    <n v="0"/>
    <n v="0"/>
    <n v="0"/>
    <x v="6"/>
  </r>
  <r>
    <x v="2"/>
    <x v="69"/>
    <s v="Evenly by province/region"/>
    <n v="0"/>
    <n v="0"/>
    <n v="0"/>
    <n v="0"/>
    <n v="0"/>
    <n v="0"/>
    <n v="0"/>
    <n v="0"/>
    <n v="0"/>
    <n v="0"/>
    <n v="0"/>
    <n v="0"/>
    <n v="0"/>
    <n v="0"/>
    <n v="0"/>
    <n v="0"/>
    <n v="0"/>
    <n v="0"/>
    <n v="0"/>
    <n v="0"/>
    <n v="0"/>
    <n v="0"/>
    <x v="6"/>
  </r>
  <r>
    <x v="2"/>
    <x v="69"/>
    <s v="Evenly by province/region"/>
    <n v="0"/>
    <n v="0"/>
    <n v="0"/>
    <n v="0"/>
    <n v="0"/>
    <n v="0"/>
    <n v="0"/>
    <n v="0"/>
    <n v="0"/>
    <n v="0"/>
    <n v="0"/>
    <n v="0"/>
    <n v="0"/>
    <n v="0"/>
    <n v="0"/>
    <n v="0"/>
    <n v="0"/>
    <n v="0"/>
    <n v="0"/>
    <n v="0"/>
    <n v="0"/>
    <n v="0"/>
    <x v="6"/>
  </r>
  <r>
    <x v="2"/>
    <x v="69"/>
    <s v="Evenly by province/region"/>
    <n v="0"/>
    <n v="0"/>
    <n v="0"/>
    <n v="0"/>
    <n v="0"/>
    <n v="0"/>
    <n v="0"/>
    <n v="0"/>
    <n v="0"/>
    <n v="0"/>
    <n v="0"/>
    <n v="0"/>
    <n v="0"/>
    <n v="0"/>
    <n v="0"/>
    <n v="0"/>
    <n v="0"/>
    <n v="0"/>
    <n v="0"/>
    <n v="0"/>
    <n v="0"/>
    <n v="0"/>
    <x v="6"/>
  </r>
  <r>
    <x v="2"/>
    <x v="69"/>
    <s v="Evenly by province/region"/>
    <n v="0"/>
    <n v="0"/>
    <n v="0"/>
    <n v="0"/>
    <n v="0"/>
    <n v="0"/>
    <n v="0"/>
    <n v="0"/>
    <n v="0"/>
    <n v="0"/>
    <n v="0"/>
    <n v="0"/>
    <n v="0"/>
    <n v="0"/>
    <n v="0"/>
    <n v="0"/>
    <n v="0"/>
    <n v="0"/>
    <n v="0"/>
    <n v="0"/>
    <n v="0"/>
    <n v="0"/>
    <x v="6"/>
  </r>
  <r>
    <x v="2"/>
    <x v="69"/>
    <s v="Evenly by province/region"/>
    <s v="National-level"/>
    <n v="0"/>
    <n v="0"/>
    <n v="0"/>
    <n v="0"/>
    <n v="0"/>
    <n v="0"/>
    <n v="0"/>
    <n v="0"/>
    <n v="0"/>
    <n v="0"/>
    <n v="0"/>
    <n v="0"/>
    <n v="0"/>
    <n v="0"/>
    <n v="0"/>
    <n v="0"/>
    <n v="0"/>
    <n v="0"/>
    <n v="0"/>
    <n v="0"/>
    <n v="0"/>
    <x v="6"/>
  </r>
  <r>
    <x v="2"/>
    <x v="70"/>
    <s v="Central level"/>
    <s v="Central"/>
    <n v="0"/>
    <n v="0"/>
    <n v="0"/>
    <n v="0"/>
    <n v="0"/>
    <n v="0"/>
    <n v="0"/>
    <n v="0"/>
    <n v="0"/>
    <n v="0"/>
    <n v="0"/>
    <n v="0"/>
    <n v="0"/>
    <n v="0"/>
    <n v="0"/>
    <n v="0"/>
    <n v="0"/>
    <n v="0"/>
    <n v="0"/>
    <n v="0"/>
    <n v="0"/>
    <x v="6"/>
  </r>
  <r>
    <x v="2"/>
    <x v="70"/>
    <s v="Central level"/>
    <s v="Copperbelt"/>
    <n v="0"/>
    <n v="0"/>
    <n v="0"/>
    <n v="0"/>
    <n v="0"/>
    <n v="0"/>
    <n v="0"/>
    <n v="0"/>
    <n v="0"/>
    <n v="0"/>
    <n v="0"/>
    <n v="0"/>
    <n v="0"/>
    <n v="0"/>
    <n v="0"/>
    <n v="0"/>
    <n v="0"/>
    <n v="0"/>
    <n v="0"/>
    <n v="0"/>
    <n v="0"/>
    <x v="6"/>
  </r>
  <r>
    <x v="2"/>
    <x v="70"/>
    <s v="Central level"/>
    <s v="Eastern"/>
    <n v="0"/>
    <n v="0"/>
    <n v="0"/>
    <n v="0"/>
    <n v="0"/>
    <n v="0"/>
    <n v="0"/>
    <n v="0"/>
    <n v="0"/>
    <n v="0"/>
    <n v="0"/>
    <n v="0"/>
    <n v="0"/>
    <n v="0"/>
    <n v="0"/>
    <n v="0"/>
    <n v="0"/>
    <n v="0"/>
    <n v="0"/>
    <n v="0"/>
    <n v="0"/>
    <x v="6"/>
  </r>
  <r>
    <x v="2"/>
    <x v="70"/>
    <s v="Central level"/>
    <s v="Luapula"/>
    <n v="0"/>
    <n v="0"/>
    <n v="0"/>
    <n v="0"/>
    <n v="0"/>
    <n v="0"/>
    <n v="0"/>
    <n v="0"/>
    <n v="0"/>
    <n v="0"/>
    <n v="0"/>
    <n v="0"/>
    <n v="0"/>
    <n v="0"/>
    <n v="0"/>
    <n v="0"/>
    <n v="0"/>
    <n v="0"/>
    <n v="0"/>
    <n v="0"/>
    <n v="0"/>
    <x v="6"/>
  </r>
  <r>
    <x v="2"/>
    <x v="70"/>
    <s v="Central level"/>
    <s v="Lusaka"/>
    <n v="0"/>
    <n v="0"/>
    <n v="0"/>
    <n v="0"/>
    <n v="0"/>
    <n v="0"/>
    <n v="0"/>
    <n v="0"/>
    <n v="0"/>
    <n v="0"/>
    <n v="0"/>
    <n v="0"/>
    <n v="0"/>
    <n v="0"/>
    <n v="0"/>
    <n v="0"/>
    <n v="0"/>
    <n v="0"/>
    <n v="0"/>
    <n v="0"/>
    <n v="0"/>
    <x v="6"/>
  </r>
  <r>
    <x v="2"/>
    <x v="70"/>
    <s v="Central level"/>
    <s v="Muchinga"/>
    <n v="0"/>
    <n v="0"/>
    <n v="0"/>
    <n v="0"/>
    <n v="0"/>
    <n v="0"/>
    <n v="0"/>
    <n v="0"/>
    <n v="0"/>
    <n v="0"/>
    <n v="0"/>
    <n v="0"/>
    <n v="0"/>
    <n v="0"/>
    <n v="0"/>
    <n v="0"/>
    <n v="0"/>
    <n v="0"/>
    <n v="0"/>
    <n v="0"/>
    <n v="0"/>
    <x v="6"/>
  </r>
  <r>
    <x v="2"/>
    <x v="70"/>
    <s v="Central level"/>
    <s v="Northern"/>
    <n v="0"/>
    <n v="0"/>
    <n v="0"/>
    <n v="0"/>
    <n v="0"/>
    <n v="0"/>
    <n v="0"/>
    <n v="0"/>
    <n v="0"/>
    <n v="0"/>
    <n v="0"/>
    <n v="0"/>
    <n v="0"/>
    <n v="0"/>
    <n v="0"/>
    <n v="0"/>
    <n v="0"/>
    <n v="0"/>
    <n v="0"/>
    <n v="0"/>
    <n v="0"/>
    <x v="6"/>
  </r>
  <r>
    <x v="2"/>
    <x v="70"/>
    <s v="Central level"/>
    <s v="North Western"/>
    <n v="0"/>
    <n v="0"/>
    <n v="0"/>
    <n v="0"/>
    <n v="0"/>
    <n v="0"/>
    <n v="0"/>
    <n v="0"/>
    <n v="0"/>
    <n v="0"/>
    <n v="0"/>
    <n v="0"/>
    <n v="0"/>
    <n v="0"/>
    <n v="0"/>
    <n v="0"/>
    <n v="0"/>
    <n v="0"/>
    <n v="0"/>
    <n v="0"/>
    <n v="0"/>
    <x v="6"/>
  </r>
  <r>
    <x v="2"/>
    <x v="70"/>
    <s v="Central level"/>
    <s v="Southern"/>
    <n v="0"/>
    <n v="0"/>
    <n v="0"/>
    <n v="0"/>
    <n v="0"/>
    <n v="0"/>
    <n v="0"/>
    <n v="0"/>
    <n v="0"/>
    <n v="0"/>
    <n v="0"/>
    <n v="0"/>
    <n v="0"/>
    <n v="0"/>
    <n v="0"/>
    <n v="0"/>
    <n v="0"/>
    <n v="0"/>
    <n v="0"/>
    <n v="0"/>
    <n v="0"/>
    <x v="6"/>
  </r>
  <r>
    <x v="2"/>
    <x v="70"/>
    <s v="Central level"/>
    <s v="Western"/>
    <n v="0"/>
    <n v="0"/>
    <n v="0"/>
    <n v="0"/>
    <n v="0"/>
    <n v="0"/>
    <n v="0"/>
    <n v="0"/>
    <n v="0"/>
    <n v="0"/>
    <n v="0"/>
    <n v="0"/>
    <n v="0"/>
    <n v="0"/>
    <n v="0"/>
    <n v="0"/>
    <n v="0"/>
    <n v="0"/>
    <n v="0"/>
    <n v="0"/>
    <n v="0"/>
    <x v="6"/>
  </r>
  <r>
    <x v="2"/>
    <x v="70"/>
    <s v="Central level"/>
    <n v="0"/>
    <n v="0"/>
    <n v="0"/>
    <n v="0"/>
    <n v="0"/>
    <n v="0"/>
    <n v="0"/>
    <n v="0"/>
    <n v="0"/>
    <n v="0"/>
    <n v="0"/>
    <n v="0"/>
    <n v="0"/>
    <n v="0"/>
    <n v="0"/>
    <n v="0"/>
    <n v="0"/>
    <n v="0"/>
    <n v="0"/>
    <n v="0"/>
    <n v="0"/>
    <n v="0"/>
    <x v="6"/>
  </r>
  <r>
    <x v="2"/>
    <x v="70"/>
    <s v="Central level"/>
    <n v="0"/>
    <n v="0"/>
    <n v="0"/>
    <n v="0"/>
    <n v="0"/>
    <n v="0"/>
    <n v="0"/>
    <n v="0"/>
    <n v="0"/>
    <n v="0"/>
    <n v="0"/>
    <n v="0"/>
    <n v="0"/>
    <n v="0"/>
    <n v="0"/>
    <n v="0"/>
    <n v="0"/>
    <n v="0"/>
    <n v="0"/>
    <n v="0"/>
    <n v="0"/>
    <n v="0"/>
    <x v="6"/>
  </r>
  <r>
    <x v="2"/>
    <x v="70"/>
    <s v="Central level"/>
    <n v="0"/>
    <n v="0"/>
    <n v="0"/>
    <n v="0"/>
    <n v="0"/>
    <n v="0"/>
    <n v="0"/>
    <n v="0"/>
    <n v="0"/>
    <n v="0"/>
    <n v="0"/>
    <n v="0"/>
    <n v="0"/>
    <n v="0"/>
    <n v="0"/>
    <n v="0"/>
    <n v="0"/>
    <n v="0"/>
    <n v="0"/>
    <n v="0"/>
    <n v="0"/>
    <n v="0"/>
    <x v="6"/>
  </r>
  <r>
    <x v="2"/>
    <x v="70"/>
    <s v="Central level"/>
    <n v="0"/>
    <n v="0"/>
    <n v="0"/>
    <n v="0"/>
    <n v="0"/>
    <n v="0"/>
    <n v="0"/>
    <n v="0"/>
    <n v="0"/>
    <n v="0"/>
    <n v="0"/>
    <n v="0"/>
    <n v="0"/>
    <n v="0"/>
    <n v="0"/>
    <n v="0"/>
    <n v="0"/>
    <n v="0"/>
    <n v="0"/>
    <n v="0"/>
    <n v="0"/>
    <n v="0"/>
    <x v="6"/>
  </r>
  <r>
    <x v="2"/>
    <x v="70"/>
    <s v="Central level"/>
    <n v="0"/>
    <n v="0"/>
    <n v="0"/>
    <n v="0"/>
    <n v="0"/>
    <n v="0"/>
    <n v="0"/>
    <n v="0"/>
    <n v="0"/>
    <n v="0"/>
    <n v="0"/>
    <n v="0"/>
    <n v="0"/>
    <n v="0"/>
    <n v="0"/>
    <n v="0"/>
    <n v="0"/>
    <n v="0"/>
    <n v="0"/>
    <n v="0"/>
    <n v="0"/>
    <n v="0"/>
    <x v="6"/>
  </r>
  <r>
    <x v="2"/>
    <x v="70"/>
    <s v="Central level"/>
    <s v="National-level"/>
    <n v="39000"/>
    <n v="0"/>
    <n v="0"/>
    <n v="0"/>
    <n v="0"/>
    <n v="0"/>
    <n v="0"/>
    <n v="0"/>
    <n v="0"/>
    <n v="0"/>
    <n v="39000"/>
    <n v="39000"/>
    <n v="0"/>
    <n v="0"/>
    <n v="0"/>
    <n v="0"/>
    <n v="0"/>
    <n v="0"/>
    <n v="0"/>
    <n v="0"/>
    <n v="0"/>
    <x v="6"/>
  </r>
  <r>
    <x v="2"/>
    <x v="71"/>
    <s v="Districts"/>
    <s v="Central"/>
    <n v="0"/>
    <n v="0"/>
    <n v="0"/>
    <n v="41666.666666666664"/>
    <n v="0"/>
    <n v="0"/>
    <n v="0"/>
    <n v="0"/>
    <n v="0"/>
    <n v="0"/>
    <n v="41666.666666666664"/>
    <n v="0"/>
    <n v="0"/>
    <n v="0"/>
    <n v="41666.666666666664"/>
    <n v="0"/>
    <n v="0"/>
    <n v="0"/>
    <n v="0"/>
    <n v="0"/>
    <n v="0"/>
    <x v="1"/>
  </r>
  <r>
    <x v="2"/>
    <x v="71"/>
    <s v="Districts"/>
    <s v="Copperbelt"/>
    <n v="0"/>
    <n v="0"/>
    <n v="0"/>
    <n v="69444.444444444453"/>
    <n v="0"/>
    <n v="0"/>
    <n v="0"/>
    <n v="0"/>
    <n v="0"/>
    <n v="0"/>
    <n v="69444.444444444453"/>
    <n v="0"/>
    <n v="0"/>
    <n v="0"/>
    <n v="69444.444444444453"/>
    <n v="0"/>
    <n v="0"/>
    <n v="0"/>
    <n v="0"/>
    <n v="0"/>
    <n v="0"/>
    <x v="1"/>
  </r>
  <r>
    <x v="2"/>
    <x v="71"/>
    <s v="Districts"/>
    <s v="Eastern"/>
    <n v="0"/>
    <n v="0"/>
    <n v="0"/>
    <n v="48611.111111111109"/>
    <n v="0"/>
    <n v="0"/>
    <n v="0"/>
    <n v="0"/>
    <n v="0"/>
    <n v="0"/>
    <n v="48611.111111111109"/>
    <n v="0"/>
    <n v="0"/>
    <n v="0"/>
    <n v="48611.111111111109"/>
    <n v="0"/>
    <n v="0"/>
    <n v="0"/>
    <n v="0"/>
    <n v="0"/>
    <n v="0"/>
    <x v="1"/>
  </r>
  <r>
    <x v="2"/>
    <x v="71"/>
    <s v="Districts"/>
    <s v="Luapula"/>
    <n v="0"/>
    <n v="0"/>
    <n v="0"/>
    <n v="48611.111111111109"/>
    <n v="0"/>
    <n v="0"/>
    <n v="0"/>
    <n v="0"/>
    <n v="0"/>
    <n v="0"/>
    <n v="48611.111111111109"/>
    <n v="0"/>
    <n v="0"/>
    <n v="0"/>
    <n v="48611.111111111109"/>
    <n v="0"/>
    <n v="0"/>
    <n v="0"/>
    <n v="0"/>
    <n v="0"/>
    <n v="0"/>
    <x v="1"/>
  </r>
  <r>
    <x v="2"/>
    <x v="71"/>
    <s v="Districts"/>
    <s v="Lusaka"/>
    <n v="0"/>
    <n v="0"/>
    <n v="0"/>
    <n v="27777.777777777777"/>
    <n v="0"/>
    <n v="0"/>
    <n v="0"/>
    <n v="0"/>
    <n v="0"/>
    <n v="0"/>
    <n v="27777.777777777777"/>
    <n v="0"/>
    <n v="0"/>
    <n v="0"/>
    <n v="27777.777777777777"/>
    <n v="0"/>
    <n v="0"/>
    <n v="0"/>
    <n v="0"/>
    <n v="0"/>
    <n v="0"/>
    <x v="1"/>
  </r>
  <r>
    <x v="2"/>
    <x v="71"/>
    <s v="Districts"/>
    <s v="Muchinga"/>
    <n v="0"/>
    <n v="0"/>
    <n v="0"/>
    <n v="34722.222222222226"/>
    <n v="0"/>
    <n v="0"/>
    <n v="0"/>
    <n v="0"/>
    <n v="0"/>
    <n v="0"/>
    <n v="34722.222222222226"/>
    <n v="0"/>
    <n v="0"/>
    <n v="0"/>
    <n v="34722.222222222226"/>
    <n v="0"/>
    <n v="0"/>
    <n v="0"/>
    <n v="0"/>
    <n v="0"/>
    <n v="0"/>
    <x v="1"/>
  </r>
  <r>
    <x v="2"/>
    <x v="71"/>
    <s v="Districts"/>
    <s v="Northern"/>
    <n v="0"/>
    <n v="0"/>
    <n v="0"/>
    <n v="55555.555555555555"/>
    <n v="0"/>
    <n v="0"/>
    <n v="0"/>
    <n v="0"/>
    <n v="0"/>
    <n v="0"/>
    <n v="55555.555555555555"/>
    <n v="0"/>
    <n v="0"/>
    <n v="0"/>
    <n v="55555.555555555555"/>
    <n v="0"/>
    <n v="0"/>
    <n v="0"/>
    <n v="0"/>
    <n v="0"/>
    <n v="0"/>
    <x v="1"/>
  </r>
  <r>
    <x v="2"/>
    <x v="71"/>
    <s v="Districts"/>
    <s v="North Western"/>
    <n v="0"/>
    <n v="0"/>
    <n v="0"/>
    <n v="48611.111111111109"/>
    <n v="0"/>
    <n v="0"/>
    <n v="0"/>
    <n v="0"/>
    <n v="0"/>
    <n v="0"/>
    <n v="48611.111111111109"/>
    <n v="0"/>
    <n v="0"/>
    <n v="0"/>
    <n v="48611.111111111109"/>
    <n v="0"/>
    <n v="0"/>
    <n v="0"/>
    <n v="0"/>
    <n v="0"/>
    <n v="0"/>
    <x v="1"/>
  </r>
  <r>
    <x v="2"/>
    <x v="71"/>
    <s v="Districts"/>
    <s v="Southern"/>
    <n v="0"/>
    <n v="0"/>
    <n v="0"/>
    <n v="76388.888888888891"/>
    <n v="0"/>
    <n v="0"/>
    <n v="0"/>
    <n v="0"/>
    <n v="0"/>
    <n v="0"/>
    <n v="76388.888888888891"/>
    <n v="0"/>
    <n v="0"/>
    <n v="0"/>
    <n v="76388.888888888891"/>
    <n v="0"/>
    <n v="0"/>
    <n v="0"/>
    <n v="0"/>
    <n v="0"/>
    <n v="0"/>
    <x v="1"/>
  </r>
  <r>
    <x v="2"/>
    <x v="71"/>
    <s v="Districts"/>
    <s v="Western"/>
    <n v="0"/>
    <n v="0"/>
    <n v="0"/>
    <n v="48611.111111111109"/>
    <n v="0"/>
    <n v="0"/>
    <n v="0"/>
    <n v="0"/>
    <n v="0"/>
    <n v="0"/>
    <n v="48611.111111111109"/>
    <n v="0"/>
    <n v="0"/>
    <n v="0"/>
    <n v="48611.111111111109"/>
    <n v="0"/>
    <n v="0"/>
    <n v="0"/>
    <n v="0"/>
    <n v="0"/>
    <n v="0"/>
    <x v="1"/>
  </r>
  <r>
    <x v="2"/>
    <x v="71"/>
    <s v="Districts"/>
    <n v="0"/>
    <n v="0"/>
    <n v="0"/>
    <n v="0"/>
    <n v="0"/>
    <n v="0"/>
    <n v="0"/>
    <n v="0"/>
    <n v="0"/>
    <n v="0"/>
    <n v="0"/>
    <n v="0"/>
    <n v="0"/>
    <n v="0"/>
    <n v="0"/>
    <n v="0"/>
    <n v="0"/>
    <n v="0"/>
    <n v="0"/>
    <n v="0"/>
    <n v="0"/>
    <n v="0"/>
    <x v="1"/>
  </r>
  <r>
    <x v="2"/>
    <x v="71"/>
    <s v="Districts"/>
    <n v="0"/>
    <n v="0"/>
    <n v="0"/>
    <n v="0"/>
    <n v="0"/>
    <n v="0"/>
    <n v="0"/>
    <n v="0"/>
    <n v="0"/>
    <n v="0"/>
    <n v="0"/>
    <n v="0"/>
    <n v="0"/>
    <n v="0"/>
    <n v="0"/>
    <n v="0"/>
    <n v="0"/>
    <n v="0"/>
    <n v="0"/>
    <n v="0"/>
    <n v="0"/>
    <n v="0"/>
    <x v="1"/>
  </r>
  <r>
    <x v="2"/>
    <x v="71"/>
    <s v="Districts"/>
    <n v="0"/>
    <n v="0"/>
    <n v="0"/>
    <n v="0"/>
    <n v="0"/>
    <n v="0"/>
    <n v="0"/>
    <n v="0"/>
    <n v="0"/>
    <n v="0"/>
    <n v="0"/>
    <n v="0"/>
    <n v="0"/>
    <n v="0"/>
    <n v="0"/>
    <n v="0"/>
    <n v="0"/>
    <n v="0"/>
    <n v="0"/>
    <n v="0"/>
    <n v="0"/>
    <n v="0"/>
    <x v="1"/>
  </r>
  <r>
    <x v="2"/>
    <x v="71"/>
    <s v="Districts"/>
    <n v="0"/>
    <n v="0"/>
    <n v="0"/>
    <n v="0"/>
    <n v="0"/>
    <n v="0"/>
    <n v="0"/>
    <n v="0"/>
    <n v="0"/>
    <n v="0"/>
    <n v="0"/>
    <n v="0"/>
    <n v="0"/>
    <n v="0"/>
    <n v="0"/>
    <n v="0"/>
    <n v="0"/>
    <n v="0"/>
    <n v="0"/>
    <n v="0"/>
    <n v="0"/>
    <n v="0"/>
    <x v="1"/>
  </r>
  <r>
    <x v="2"/>
    <x v="71"/>
    <s v="Districts"/>
    <n v="0"/>
    <n v="0"/>
    <n v="0"/>
    <n v="0"/>
    <n v="0"/>
    <n v="0"/>
    <n v="0"/>
    <n v="0"/>
    <n v="0"/>
    <n v="0"/>
    <n v="0"/>
    <n v="0"/>
    <n v="0"/>
    <n v="0"/>
    <n v="0"/>
    <n v="0"/>
    <n v="0"/>
    <n v="0"/>
    <n v="0"/>
    <n v="0"/>
    <n v="0"/>
    <n v="0"/>
    <x v="1"/>
  </r>
  <r>
    <x v="2"/>
    <x v="71"/>
    <s v="Districts"/>
    <s v="National-level"/>
    <n v="0"/>
    <n v="0"/>
    <n v="0"/>
    <n v="0"/>
    <n v="0"/>
    <n v="0"/>
    <n v="0"/>
    <n v="0"/>
    <n v="0"/>
    <n v="0"/>
    <n v="0"/>
    <n v="0"/>
    <n v="0"/>
    <n v="0"/>
    <n v="0"/>
    <n v="0"/>
    <n v="0"/>
    <n v="0"/>
    <n v="0"/>
    <n v="0"/>
    <n v="0"/>
    <x v="1"/>
  </r>
  <r>
    <x v="2"/>
    <x v="72"/>
    <s v="Districts"/>
    <s v="Central"/>
    <n v="27822.165333333338"/>
    <n v="0"/>
    <n v="0"/>
    <n v="0"/>
    <n v="0"/>
    <n v="0"/>
    <n v="0"/>
    <n v="0"/>
    <n v="0"/>
    <n v="0"/>
    <n v="27822.165333333338"/>
    <n v="27822.165333333338"/>
    <n v="0"/>
    <n v="0"/>
    <n v="0"/>
    <n v="0"/>
    <n v="0"/>
    <n v="0"/>
    <n v="0"/>
    <n v="0"/>
    <n v="0"/>
    <x v="6"/>
  </r>
  <r>
    <x v="2"/>
    <x v="72"/>
    <s v="Districts"/>
    <s v="Copperbelt"/>
    <n v="46370.275555555563"/>
    <n v="0"/>
    <n v="0"/>
    <n v="0"/>
    <n v="0"/>
    <n v="0"/>
    <n v="0"/>
    <n v="0"/>
    <n v="0"/>
    <n v="0"/>
    <n v="46370.275555555563"/>
    <n v="46370.275555555563"/>
    <n v="0"/>
    <n v="0"/>
    <n v="0"/>
    <n v="0"/>
    <n v="0"/>
    <n v="0"/>
    <n v="0"/>
    <n v="0"/>
    <n v="0"/>
    <x v="6"/>
  </r>
  <r>
    <x v="2"/>
    <x v="72"/>
    <s v="Districts"/>
    <s v="Eastern"/>
    <n v="32459.192888888894"/>
    <n v="0"/>
    <n v="0"/>
    <n v="0"/>
    <n v="0"/>
    <n v="0"/>
    <n v="0"/>
    <n v="0"/>
    <n v="0"/>
    <n v="0"/>
    <n v="32459.192888888894"/>
    <n v="32459.192888888894"/>
    <n v="0"/>
    <n v="0"/>
    <n v="0"/>
    <n v="0"/>
    <n v="0"/>
    <n v="0"/>
    <n v="0"/>
    <n v="0"/>
    <n v="0"/>
    <x v="6"/>
  </r>
  <r>
    <x v="2"/>
    <x v="72"/>
    <s v="Districts"/>
    <s v="Luapula"/>
    <n v="32459.192888888894"/>
    <n v="0"/>
    <n v="0"/>
    <n v="0"/>
    <n v="0"/>
    <n v="0"/>
    <n v="0"/>
    <n v="0"/>
    <n v="0"/>
    <n v="0"/>
    <n v="32459.192888888894"/>
    <n v="32459.192888888894"/>
    <n v="0"/>
    <n v="0"/>
    <n v="0"/>
    <n v="0"/>
    <n v="0"/>
    <n v="0"/>
    <n v="0"/>
    <n v="0"/>
    <n v="0"/>
    <x v="6"/>
  </r>
  <r>
    <x v="2"/>
    <x v="72"/>
    <s v="Districts"/>
    <s v="Lusaka"/>
    <n v="18548.110222222225"/>
    <n v="0"/>
    <n v="0"/>
    <n v="0"/>
    <n v="0"/>
    <n v="0"/>
    <n v="0"/>
    <n v="0"/>
    <n v="0"/>
    <n v="0"/>
    <n v="18548.110222222225"/>
    <n v="18548.110222222225"/>
    <n v="0"/>
    <n v="0"/>
    <n v="0"/>
    <n v="0"/>
    <n v="0"/>
    <n v="0"/>
    <n v="0"/>
    <n v="0"/>
    <n v="0"/>
    <x v="6"/>
  </r>
  <r>
    <x v="2"/>
    <x v="72"/>
    <s v="Districts"/>
    <s v="Muchinga"/>
    <n v="23185.137777777782"/>
    <n v="0"/>
    <n v="0"/>
    <n v="0"/>
    <n v="0"/>
    <n v="0"/>
    <n v="0"/>
    <n v="0"/>
    <n v="0"/>
    <n v="0"/>
    <n v="23185.137777777782"/>
    <n v="23185.137777777782"/>
    <n v="0"/>
    <n v="0"/>
    <n v="0"/>
    <n v="0"/>
    <n v="0"/>
    <n v="0"/>
    <n v="0"/>
    <n v="0"/>
    <n v="0"/>
    <x v="6"/>
  </r>
  <r>
    <x v="2"/>
    <x v="72"/>
    <s v="Districts"/>
    <s v="Northern"/>
    <n v="37096.220444444451"/>
    <n v="0"/>
    <n v="0"/>
    <n v="0"/>
    <n v="0"/>
    <n v="0"/>
    <n v="0"/>
    <n v="0"/>
    <n v="0"/>
    <n v="0"/>
    <n v="37096.220444444451"/>
    <n v="37096.220444444451"/>
    <n v="0"/>
    <n v="0"/>
    <n v="0"/>
    <n v="0"/>
    <n v="0"/>
    <n v="0"/>
    <n v="0"/>
    <n v="0"/>
    <n v="0"/>
    <x v="6"/>
  </r>
  <r>
    <x v="2"/>
    <x v="72"/>
    <s v="Districts"/>
    <s v="North Western"/>
    <n v="32459.192888888894"/>
    <n v="0"/>
    <n v="0"/>
    <n v="0"/>
    <n v="0"/>
    <n v="0"/>
    <n v="0"/>
    <n v="0"/>
    <n v="0"/>
    <n v="0"/>
    <n v="32459.192888888894"/>
    <n v="32459.192888888894"/>
    <n v="0"/>
    <n v="0"/>
    <n v="0"/>
    <n v="0"/>
    <n v="0"/>
    <n v="0"/>
    <n v="0"/>
    <n v="0"/>
    <n v="0"/>
    <x v="6"/>
  </r>
  <r>
    <x v="2"/>
    <x v="72"/>
    <s v="Districts"/>
    <s v="Southern"/>
    <n v="51007.303111111127"/>
    <n v="0"/>
    <n v="0"/>
    <n v="0"/>
    <n v="0"/>
    <n v="0"/>
    <n v="0"/>
    <n v="0"/>
    <n v="0"/>
    <n v="0"/>
    <n v="51007.303111111127"/>
    <n v="51007.303111111127"/>
    <n v="0"/>
    <n v="0"/>
    <n v="0"/>
    <n v="0"/>
    <n v="0"/>
    <n v="0"/>
    <n v="0"/>
    <n v="0"/>
    <n v="0"/>
    <x v="6"/>
  </r>
  <r>
    <x v="2"/>
    <x v="72"/>
    <s v="Districts"/>
    <s v="Western"/>
    <n v="32459.192888888894"/>
    <n v="0"/>
    <n v="0"/>
    <n v="0"/>
    <n v="0"/>
    <n v="0"/>
    <n v="0"/>
    <n v="0"/>
    <n v="0"/>
    <n v="0"/>
    <n v="32459.192888888894"/>
    <n v="32459.192888888894"/>
    <n v="0"/>
    <n v="0"/>
    <n v="0"/>
    <n v="0"/>
    <n v="0"/>
    <n v="0"/>
    <n v="0"/>
    <n v="0"/>
    <n v="0"/>
    <x v="6"/>
  </r>
  <r>
    <x v="2"/>
    <x v="72"/>
    <s v="Districts"/>
    <n v="0"/>
    <n v="0"/>
    <n v="0"/>
    <n v="0"/>
    <n v="0"/>
    <n v="0"/>
    <n v="0"/>
    <n v="0"/>
    <n v="0"/>
    <n v="0"/>
    <n v="0"/>
    <n v="0"/>
    <n v="0"/>
    <n v="0"/>
    <n v="0"/>
    <n v="0"/>
    <n v="0"/>
    <n v="0"/>
    <n v="0"/>
    <n v="0"/>
    <n v="0"/>
    <n v="0"/>
    <x v="6"/>
  </r>
  <r>
    <x v="2"/>
    <x v="72"/>
    <s v="Districts"/>
    <n v="0"/>
    <n v="0"/>
    <n v="0"/>
    <n v="0"/>
    <n v="0"/>
    <n v="0"/>
    <n v="0"/>
    <n v="0"/>
    <n v="0"/>
    <n v="0"/>
    <n v="0"/>
    <n v="0"/>
    <n v="0"/>
    <n v="0"/>
    <n v="0"/>
    <n v="0"/>
    <n v="0"/>
    <n v="0"/>
    <n v="0"/>
    <n v="0"/>
    <n v="0"/>
    <n v="0"/>
    <x v="6"/>
  </r>
  <r>
    <x v="2"/>
    <x v="72"/>
    <s v="Districts"/>
    <n v="0"/>
    <n v="0"/>
    <n v="0"/>
    <n v="0"/>
    <n v="0"/>
    <n v="0"/>
    <n v="0"/>
    <n v="0"/>
    <n v="0"/>
    <n v="0"/>
    <n v="0"/>
    <n v="0"/>
    <n v="0"/>
    <n v="0"/>
    <n v="0"/>
    <n v="0"/>
    <n v="0"/>
    <n v="0"/>
    <n v="0"/>
    <n v="0"/>
    <n v="0"/>
    <n v="0"/>
    <x v="6"/>
  </r>
  <r>
    <x v="2"/>
    <x v="72"/>
    <s v="Districts"/>
    <n v="0"/>
    <n v="0"/>
    <n v="0"/>
    <n v="0"/>
    <n v="0"/>
    <n v="0"/>
    <n v="0"/>
    <n v="0"/>
    <n v="0"/>
    <n v="0"/>
    <n v="0"/>
    <n v="0"/>
    <n v="0"/>
    <n v="0"/>
    <n v="0"/>
    <n v="0"/>
    <n v="0"/>
    <n v="0"/>
    <n v="0"/>
    <n v="0"/>
    <n v="0"/>
    <n v="0"/>
    <x v="6"/>
  </r>
  <r>
    <x v="2"/>
    <x v="72"/>
    <s v="Districts"/>
    <n v="0"/>
    <n v="0"/>
    <n v="0"/>
    <n v="0"/>
    <n v="0"/>
    <n v="0"/>
    <n v="0"/>
    <n v="0"/>
    <n v="0"/>
    <n v="0"/>
    <n v="0"/>
    <n v="0"/>
    <n v="0"/>
    <n v="0"/>
    <n v="0"/>
    <n v="0"/>
    <n v="0"/>
    <n v="0"/>
    <n v="0"/>
    <n v="0"/>
    <n v="0"/>
    <n v="0"/>
    <x v="6"/>
  </r>
  <r>
    <x v="2"/>
    <x v="72"/>
    <s v="Districts"/>
    <s v="National-level"/>
    <n v="0"/>
    <n v="0"/>
    <n v="0"/>
    <n v="0"/>
    <n v="0"/>
    <n v="0"/>
    <n v="0"/>
    <n v="0"/>
    <n v="0"/>
    <n v="0"/>
    <n v="0"/>
    <n v="0"/>
    <n v="0"/>
    <n v="0"/>
    <n v="0"/>
    <n v="0"/>
    <n v="0"/>
    <n v="0"/>
    <n v="0"/>
    <n v="0"/>
    <n v="0"/>
    <x v="6"/>
  </r>
  <r>
    <x v="2"/>
    <x v="73"/>
    <n v="0"/>
    <s v="Central"/>
    <e v="#N/A"/>
    <e v="#N/A"/>
    <e v="#N/A"/>
    <e v="#N/A"/>
    <e v="#N/A"/>
    <e v="#N/A"/>
    <e v="#N/A"/>
    <e v="#N/A"/>
    <e v="#N/A"/>
    <e v="#N/A"/>
    <n v="0"/>
    <n v="0"/>
    <n v="0"/>
    <n v="0"/>
    <n v="0"/>
    <n v="0"/>
    <n v="0"/>
    <n v="0"/>
    <n v="0"/>
    <n v="0"/>
    <n v="0"/>
    <x v="1"/>
  </r>
  <r>
    <x v="2"/>
    <x v="73"/>
    <n v="0"/>
    <s v="Copperbelt"/>
    <e v="#N/A"/>
    <e v="#N/A"/>
    <e v="#N/A"/>
    <e v="#N/A"/>
    <e v="#N/A"/>
    <e v="#N/A"/>
    <e v="#N/A"/>
    <e v="#N/A"/>
    <e v="#N/A"/>
    <e v="#N/A"/>
    <n v="0"/>
    <n v="0"/>
    <n v="0"/>
    <n v="0"/>
    <n v="0"/>
    <n v="0"/>
    <n v="0"/>
    <n v="0"/>
    <n v="0"/>
    <n v="0"/>
    <n v="0"/>
    <x v="1"/>
  </r>
  <r>
    <x v="2"/>
    <x v="73"/>
    <n v="0"/>
    <s v="Eastern"/>
    <e v="#N/A"/>
    <e v="#N/A"/>
    <e v="#N/A"/>
    <e v="#N/A"/>
    <e v="#N/A"/>
    <e v="#N/A"/>
    <e v="#N/A"/>
    <e v="#N/A"/>
    <e v="#N/A"/>
    <e v="#N/A"/>
    <n v="0"/>
    <n v="0"/>
    <n v="0"/>
    <n v="0"/>
    <n v="0"/>
    <n v="0"/>
    <n v="0"/>
    <n v="0"/>
    <n v="0"/>
    <n v="0"/>
    <n v="0"/>
    <x v="1"/>
  </r>
  <r>
    <x v="2"/>
    <x v="73"/>
    <n v="0"/>
    <s v="Luapula"/>
    <e v="#N/A"/>
    <e v="#N/A"/>
    <e v="#N/A"/>
    <e v="#N/A"/>
    <e v="#N/A"/>
    <e v="#N/A"/>
    <e v="#N/A"/>
    <e v="#N/A"/>
    <e v="#N/A"/>
    <e v="#N/A"/>
    <n v="0"/>
    <n v="0"/>
    <n v="0"/>
    <n v="0"/>
    <n v="0"/>
    <n v="0"/>
    <n v="0"/>
    <n v="0"/>
    <n v="0"/>
    <n v="0"/>
    <n v="0"/>
    <x v="1"/>
  </r>
  <r>
    <x v="2"/>
    <x v="73"/>
    <n v="0"/>
    <s v="Lusaka"/>
    <e v="#N/A"/>
    <e v="#N/A"/>
    <e v="#N/A"/>
    <e v="#N/A"/>
    <e v="#N/A"/>
    <e v="#N/A"/>
    <e v="#N/A"/>
    <e v="#N/A"/>
    <e v="#N/A"/>
    <e v="#N/A"/>
    <n v="0"/>
    <n v="0"/>
    <n v="0"/>
    <n v="0"/>
    <n v="0"/>
    <n v="0"/>
    <n v="0"/>
    <n v="0"/>
    <n v="0"/>
    <n v="0"/>
    <n v="0"/>
    <x v="1"/>
  </r>
  <r>
    <x v="2"/>
    <x v="73"/>
    <n v="0"/>
    <s v="Muchinga"/>
    <e v="#N/A"/>
    <e v="#N/A"/>
    <e v="#N/A"/>
    <e v="#N/A"/>
    <e v="#N/A"/>
    <e v="#N/A"/>
    <e v="#N/A"/>
    <e v="#N/A"/>
    <e v="#N/A"/>
    <e v="#N/A"/>
    <n v="0"/>
    <n v="0"/>
    <n v="0"/>
    <n v="0"/>
    <n v="0"/>
    <n v="0"/>
    <n v="0"/>
    <n v="0"/>
    <n v="0"/>
    <n v="0"/>
    <n v="0"/>
    <x v="1"/>
  </r>
  <r>
    <x v="2"/>
    <x v="73"/>
    <n v="0"/>
    <s v="Northern"/>
    <e v="#N/A"/>
    <e v="#N/A"/>
    <e v="#N/A"/>
    <e v="#N/A"/>
    <e v="#N/A"/>
    <e v="#N/A"/>
    <e v="#N/A"/>
    <e v="#N/A"/>
    <e v="#N/A"/>
    <e v="#N/A"/>
    <n v="0"/>
    <n v="0"/>
    <n v="0"/>
    <n v="0"/>
    <n v="0"/>
    <n v="0"/>
    <n v="0"/>
    <n v="0"/>
    <n v="0"/>
    <n v="0"/>
    <n v="0"/>
    <x v="1"/>
  </r>
  <r>
    <x v="2"/>
    <x v="73"/>
    <n v="0"/>
    <s v="North Western"/>
    <e v="#N/A"/>
    <e v="#N/A"/>
    <e v="#N/A"/>
    <e v="#N/A"/>
    <e v="#N/A"/>
    <e v="#N/A"/>
    <e v="#N/A"/>
    <e v="#N/A"/>
    <e v="#N/A"/>
    <e v="#N/A"/>
    <n v="0"/>
    <n v="0"/>
    <n v="0"/>
    <n v="0"/>
    <n v="0"/>
    <n v="0"/>
    <n v="0"/>
    <n v="0"/>
    <n v="0"/>
    <n v="0"/>
    <n v="0"/>
    <x v="1"/>
  </r>
  <r>
    <x v="2"/>
    <x v="73"/>
    <n v="0"/>
    <s v="Southern"/>
    <e v="#N/A"/>
    <e v="#N/A"/>
    <e v="#N/A"/>
    <e v="#N/A"/>
    <e v="#N/A"/>
    <e v="#N/A"/>
    <e v="#N/A"/>
    <e v="#N/A"/>
    <e v="#N/A"/>
    <e v="#N/A"/>
    <n v="0"/>
    <n v="0"/>
    <n v="0"/>
    <n v="0"/>
    <n v="0"/>
    <n v="0"/>
    <n v="0"/>
    <n v="0"/>
    <n v="0"/>
    <n v="0"/>
    <n v="0"/>
    <x v="1"/>
  </r>
  <r>
    <x v="2"/>
    <x v="73"/>
    <n v="0"/>
    <s v="Western"/>
    <e v="#N/A"/>
    <e v="#N/A"/>
    <e v="#N/A"/>
    <e v="#N/A"/>
    <e v="#N/A"/>
    <e v="#N/A"/>
    <e v="#N/A"/>
    <e v="#N/A"/>
    <e v="#N/A"/>
    <e v="#N/A"/>
    <n v="0"/>
    <n v="0"/>
    <n v="0"/>
    <n v="0"/>
    <n v="0"/>
    <n v="0"/>
    <n v="0"/>
    <n v="0"/>
    <n v="0"/>
    <n v="0"/>
    <n v="0"/>
    <x v="1"/>
  </r>
  <r>
    <x v="2"/>
    <x v="73"/>
    <n v="0"/>
    <n v="0"/>
    <e v="#N/A"/>
    <e v="#N/A"/>
    <e v="#N/A"/>
    <e v="#N/A"/>
    <e v="#N/A"/>
    <e v="#N/A"/>
    <e v="#N/A"/>
    <e v="#N/A"/>
    <e v="#N/A"/>
    <e v="#N/A"/>
    <n v="0"/>
    <n v="0"/>
    <n v="0"/>
    <n v="0"/>
    <n v="0"/>
    <n v="0"/>
    <n v="0"/>
    <n v="0"/>
    <n v="0"/>
    <n v="0"/>
    <n v="0"/>
    <x v="1"/>
  </r>
  <r>
    <x v="2"/>
    <x v="73"/>
    <n v="0"/>
    <n v="0"/>
    <e v="#N/A"/>
    <e v="#N/A"/>
    <e v="#N/A"/>
    <e v="#N/A"/>
    <e v="#N/A"/>
    <e v="#N/A"/>
    <e v="#N/A"/>
    <e v="#N/A"/>
    <e v="#N/A"/>
    <e v="#N/A"/>
    <n v="0"/>
    <n v="0"/>
    <n v="0"/>
    <n v="0"/>
    <n v="0"/>
    <n v="0"/>
    <n v="0"/>
    <n v="0"/>
    <n v="0"/>
    <n v="0"/>
    <n v="0"/>
    <x v="1"/>
  </r>
  <r>
    <x v="2"/>
    <x v="73"/>
    <n v="0"/>
    <n v="0"/>
    <e v="#N/A"/>
    <e v="#N/A"/>
    <e v="#N/A"/>
    <e v="#N/A"/>
    <e v="#N/A"/>
    <e v="#N/A"/>
    <e v="#N/A"/>
    <e v="#N/A"/>
    <e v="#N/A"/>
    <e v="#N/A"/>
    <n v="0"/>
    <n v="0"/>
    <n v="0"/>
    <n v="0"/>
    <n v="0"/>
    <n v="0"/>
    <n v="0"/>
    <n v="0"/>
    <n v="0"/>
    <n v="0"/>
    <n v="0"/>
    <x v="1"/>
  </r>
  <r>
    <x v="2"/>
    <x v="73"/>
    <n v="0"/>
    <n v="0"/>
    <e v="#N/A"/>
    <e v="#N/A"/>
    <e v="#N/A"/>
    <e v="#N/A"/>
    <e v="#N/A"/>
    <e v="#N/A"/>
    <e v="#N/A"/>
    <e v="#N/A"/>
    <e v="#N/A"/>
    <e v="#N/A"/>
    <n v="0"/>
    <n v="0"/>
    <n v="0"/>
    <n v="0"/>
    <n v="0"/>
    <n v="0"/>
    <n v="0"/>
    <n v="0"/>
    <n v="0"/>
    <n v="0"/>
    <n v="0"/>
    <x v="1"/>
  </r>
  <r>
    <x v="2"/>
    <x v="73"/>
    <n v="0"/>
    <n v="0"/>
    <e v="#N/A"/>
    <e v="#N/A"/>
    <e v="#N/A"/>
    <e v="#N/A"/>
    <e v="#N/A"/>
    <e v="#N/A"/>
    <e v="#N/A"/>
    <e v="#N/A"/>
    <e v="#N/A"/>
    <e v="#N/A"/>
    <n v="0"/>
    <n v="0"/>
    <n v="0"/>
    <n v="0"/>
    <n v="0"/>
    <n v="0"/>
    <n v="0"/>
    <n v="0"/>
    <n v="0"/>
    <n v="0"/>
    <n v="0"/>
    <x v="1"/>
  </r>
  <r>
    <x v="2"/>
    <x v="73"/>
    <n v="0"/>
    <s v="National-level"/>
    <e v="#N/A"/>
    <e v="#N/A"/>
    <e v="#N/A"/>
    <e v="#N/A"/>
    <e v="#N/A"/>
    <e v="#N/A"/>
    <e v="#N/A"/>
    <e v="#N/A"/>
    <e v="#N/A"/>
    <e v="#N/A"/>
    <n v="0"/>
    <n v="0"/>
    <n v="0"/>
    <n v="0"/>
    <n v="0"/>
    <n v="0"/>
    <n v="0"/>
    <n v="0"/>
    <n v="0"/>
    <n v="0"/>
    <n v="0"/>
    <x v="1"/>
  </r>
  <r>
    <x v="1"/>
    <x v="74"/>
    <n v="0"/>
    <s v="Central"/>
    <n v="28463.370666666662"/>
    <n v="0"/>
    <n v="0"/>
    <n v="0"/>
    <n v="0"/>
    <n v="0"/>
    <n v="0"/>
    <n v="0"/>
    <n v="0"/>
    <n v="0"/>
    <n v="28463.370666666662"/>
    <n v="28463.370666666662"/>
    <n v="0"/>
    <n v="0"/>
    <n v="0"/>
    <n v="0"/>
    <n v="0"/>
    <n v="0"/>
    <n v="0"/>
    <n v="0"/>
    <n v="0"/>
    <x v="1"/>
  </r>
  <r>
    <x v="1"/>
    <x v="74"/>
    <n v="0"/>
    <s v="Copperbelt"/>
    <n v="47438.951111111113"/>
    <n v="0"/>
    <n v="0"/>
    <n v="0"/>
    <n v="0"/>
    <n v="0"/>
    <n v="0"/>
    <n v="0"/>
    <n v="0"/>
    <n v="0"/>
    <n v="47438.951111111113"/>
    <n v="47438.951111111113"/>
    <n v="0"/>
    <n v="0"/>
    <n v="0"/>
    <n v="0"/>
    <n v="0"/>
    <n v="0"/>
    <n v="0"/>
    <n v="0"/>
    <n v="0"/>
    <x v="1"/>
  </r>
  <r>
    <x v="1"/>
    <x v="74"/>
    <n v="0"/>
    <s v="Eastern"/>
    <n v="33207.265777777779"/>
    <n v="0"/>
    <n v="0"/>
    <n v="0"/>
    <n v="0"/>
    <n v="0"/>
    <n v="0"/>
    <n v="0"/>
    <n v="0"/>
    <n v="0"/>
    <n v="33207.265777777779"/>
    <n v="33207.265777777779"/>
    <n v="0"/>
    <n v="0"/>
    <n v="0"/>
    <n v="0"/>
    <n v="0"/>
    <n v="0"/>
    <n v="0"/>
    <n v="0"/>
    <n v="0"/>
    <x v="1"/>
  </r>
  <r>
    <x v="1"/>
    <x v="74"/>
    <n v="0"/>
    <s v="Luapula"/>
    <n v="33207.265777777779"/>
    <n v="0"/>
    <n v="0"/>
    <n v="0"/>
    <n v="0"/>
    <n v="0"/>
    <n v="0"/>
    <n v="0"/>
    <n v="0"/>
    <n v="0"/>
    <n v="33207.265777777779"/>
    <n v="33207.265777777779"/>
    <n v="0"/>
    <n v="0"/>
    <n v="0"/>
    <n v="0"/>
    <n v="0"/>
    <n v="0"/>
    <n v="0"/>
    <n v="0"/>
    <n v="0"/>
    <x v="1"/>
  </r>
  <r>
    <x v="1"/>
    <x v="74"/>
    <n v="0"/>
    <s v="Lusaka"/>
    <n v="18975.58044444444"/>
    <n v="0"/>
    <n v="0"/>
    <n v="0"/>
    <n v="0"/>
    <n v="0"/>
    <n v="0"/>
    <n v="0"/>
    <n v="0"/>
    <n v="0"/>
    <n v="18975.58044444444"/>
    <n v="18975.58044444444"/>
    <n v="0"/>
    <n v="0"/>
    <n v="0"/>
    <n v="0"/>
    <n v="0"/>
    <n v="0"/>
    <n v="0"/>
    <n v="0"/>
    <n v="0"/>
    <x v="1"/>
  </r>
  <r>
    <x v="1"/>
    <x v="74"/>
    <n v="0"/>
    <s v="Muchinga"/>
    <n v="23719.475555555557"/>
    <n v="0"/>
    <n v="0"/>
    <n v="0"/>
    <n v="0"/>
    <n v="0"/>
    <n v="0"/>
    <n v="0"/>
    <n v="0"/>
    <n v="0"/>
    <n v="23719.475555555557"/>
    <n v="23719.475555555557"/>
    <n v="0"/>
    <n v="0"/>
    <n v="0"/>
    <n v="0"/>
    <n v="0"/>
    <n v="0"/>
    <n v="0"/>
    <n v="0"/>
    <n v="0"/>
    <x v="1"/>
  </r>
  <r>
    <x v="1"/>
    <x v="74"/>
    <n v="0"/>
    <s v="Northern"/>
    <n v="37951.16088888888"/>
    <n v="0"/>
    <n v="0"/>
    <n v="0"/>
    <n v="0"/>
    <n v="0"/>
    <n v="0"/>
    <n v="0"/>
    <n v="0"/>
    <n v="0"/>
    <n v="37951.16088888888"/>
    <n v="37951.16088888888"/>
    <n v="0"/>
    <n v="0"/>
    <n v="0"/>
    <n v="0"/>
    <n v="0"/>
    <n v="0"/>
    <n v="0"/>
    <n v="0"/>
    <n v="0"/>
    <x v="1"/>
  </r>
  <r>
    <x v="1"/>
    <x v="74"/>
    <n v="0"/>
    <s v="North Western"/>
    <n v="33207.265777777779"/>
    <n v="0"/>
    <n v="0"/>
    <n v="0"/>
    <n v="0"/>
    <n v="0"/>
    <n v="0"/>
    <n v="0"/>
    <n v="0"/>
    <n v="0"/>
    <n v="33207.265777777779"/>
    <n v="33207.265777777779"/>
    <n v="0"/>
    <n v="0"/>
    <n v="0"/>
    <n v="0"/>
    <n v="0"/>
    <n v="0"/>
    <n v="0"/>
    <n v="0"/>
    <n v="0"/>
    <x v="1"/>
  </r>
  <r>
    <x v="1"/>
    <x v="74"/>
    <n v="0"/>
    <s v="Southern"/>
    <n v="52182.846222222222"/>
    <n v="0"/>
    <n v="0"/>
    <n v="0"/>
    <n v="0"/>
    <n v="0"/>
    <n v="0"/>
    <n v="0"/>
    <n v="0"/>
    <n v="0"/>
    <n v="52182.846222222222"/>
    <n v="52182.846222222222"/>
    <n v="0"/>
    <n v="0"/>
    <n v="0"/>
    <n v="0"/>
    <n v="0"/>
    <n v="0"/>
    <n v="0"/>
    <n v="0"/>
    <n v="0"/>
    <x v="1"/>
  </r>
  <r>
    <x v="1"/>
    <x v="74"/>
    <n v="0"/>
    <s v="Western"/>
    <n v="33207.265777777779"/>
    <n v="0"/>
    <n v="0"/>
    <n v="0"/>
    <n v="0"/>
    <n v="0"/>
    <n v="0"/>
    <n v="0"/>
    <n v="0"/>
    <n v="0"/>
    <n v="33207.265777777779"/>
    <n v="33207.265777777779"/>
    <n v="0"/>
    <n v="0"/>
    <n v="0"/>
    <n v="0"/>
    <n v="0"/>
    <n v="0"/>
    <n v="0"/>
    <n v="0"/>
    <n v="0"/>
    <x v="1"/>
  </r>
  <r>
    <x v="1"/>
    <x v="74"/>
    <n v="0"/>
    <n v="0"/>
    <n v="0"/>
    <n v="0"/>
    <n v="0"/>
    <n v="0"/>
    <n v="0"/>
    <n v="0"/>
    <n v="0"/>
    <n v="0"/>
    <n v="0"/>
    <n v="0"/>
    <n v="0"/>
    <n v="0"/>
    <n v="0"/>
    <n v="0"/>
    <n v="0"/>
    <n v="0"/>
    <n v="0"/>
    <n v="0"/>
    <n v="0"/>
    <n v="0"/>
    <n v="0"/>
    <x v="1"/>
  </r>
  <r>
    <x v="1"/>
    <x v="74"/>
    <n v="0"/>
    <n v="0"/>
    <n v="0"/>
    <n v="0"/>
    <n v="0"/>
    <n v="0"/>
    <n v="0"/>
    <n v="0"/>
    <n v="0"/>
    <n v="0"/>
    <n v="0"/>
    <n v="0"/>
    <n v="0"/>
    <n v="0"/>
    <n v="0"/>
    <n v="0"/>
    <n v="0"/>
    <n v="0"/>
    <n v="0"/>
    <n v="0"/>
    <n v="0"/>
    <n v="0"/>
    <n v="0"/>
    <x v="1"/>
  </r>
  <r>
    <x v="1"/>
    <x v="74"/>
    <n v="0"/>
    <n v="0"/>
    <n v="0"/>
    <n v="0"/>
    <n v="0"/>
    <n v="0"/>
    <n v="0"/>
    <n v="0"/>
    <n v="0"/>
    <n v="0"/>
    <n v="0"/>
    <n v="0"/>
    <n v="0"/>
    <n v="0"/>
    <n v="0"/>
    <n v="0"/>
    <n v="0"/>
    <n v="0"/>
    <n v="0"/>
    <n v="0"/>
    <n v="0"/>
    <n v="0"/>
    <n v="0"/>
    <x v="1"/>
  </r>
  <r>
    <x v="1"/>
    <x v="74"/>
    <n v="0"/>
    <n v="0"/>
    <n v="0"/>
    <n v="0"/>
    <n v="0"/>
    <n v="0"/>
    <n v="0"/>
    <n v="0"/>
    <n v="0"/>
    <n v="0"/>
    <n v="0"/>
    <n v="0"/>
    <n v="0"/>
    <n v="0"/>
    <n v="0"/>
    <n v="0"/>
    <n v="0"/>
    <n v="0"/>
    <n v="0"/>
    <n v="0"/>
    <n v="0"/>
    <n v="0"/>
    <n v="0"/>
    <x v="1"/>
  </r>
  <r>
    <x v="1"/>
    <x v="74"/>
    <n v="0"/>
    <n v="0"/>
    <n v="0"/>
    <n v="0"/>
    <n v="0"/>
    <n v="0"/>
    <n v="0"/>
    <n v="0"/>
    <n v="0"/>
    <n v="0"/>
    <n v="0"/>
    <n v="0"/>
    <n v="0"/>
    <n v="0"/>
    <n v="0"/>
    <n v="0"/>
    <n v="0"/>
    <n v="0"/>
    <n v="0"/>
    <n v="0"/>
    <n v="0"/>
    <n v="0"/>
    <n v="0"/>
    <x v="1"/>
  </r>
  <r>
    <x v="1"/>
    <x v="74"/>
    <n v="0"/>
    <s v="National-level"/>
    <n v="0"/>
    <n v="0"/>
    <n v="0"/>
    <n v="0"/>
    <n v="0"/>
    <n v="0"/>
    <n v="0"/>
    <n v="0"/>
    <n v="0"/>
    <n v="0"/>
    <n v="0"/>
    <n v="0"/>
    <n v="0"/>
    <n v="0"/>
    <n v="0"/>
    <n v="0"/>
    <n v="0"/>
    <n v="0"/>
    <n v="0"/>
    <n v="0"/>
    <n v="0"/>
    <x v="1"/>
  </r>
  <r>
    <x v="1"/>
    <x v="75"/>
    <s v="Health facilities (service delivery points)"/>
    <s v="Central"/>
    <n v="165997.44"/>
    <n v="165997.44"/>
    <n v="165997.44"/>
    <n v="165997.44"/>
    <n v="165997.44"/>
    <n v="165997.44"/>
    <n v="165997.44"/>
    <n v="165997.44"/>
    <n v="0"/>
    <n v="0"/>
    <n v="1327979.5199999998"/>
    <n v="165997.44"/>
    <n v="165997.44"/>
    <n v="165997.44"/>
    <n v="165997.44"/>
    <n v="165997.44"/>
    <n v="165997.44"/>
    <n v="165997.44"/>
    <n v="165997.44"/>
    <n v="0"/>
    <n v="0"/>
    <x v="3"/>
  </r>
  <r>
    <x v="1"/>
    <x v="75"/>
    <s v="Health facilities (service delivery points)"/>
    <s v="Copperbelt"/>
    <n v="198274.72"/>
    <n v="198274.72"/>
    <n v="198274.72"/>
    <n v="198274.72"/>
    <n v="198274.72"/>
    <n v="198274.72"/>
    <n v="198274.72"/>
    <n v="198274.72"/>
    <n v="0"/>
    <n v="0"/>
    <n v="1586197.76"/>
    <n v="198274.72"/>
    <n v="198274.72"/>
    <n v="198274.72"/>
    <n v="198274.72"/>
    <n v="198274.72"/>
    <n v="198274.72"/>
    <n v="198274.72"/>
    <n v="198274.72"/>
    <n v="0"/>
    <n v="0"/>
    <x v="3"/>
  </r>
  <r>
    <x v="1"/>
    <x v="75"/>
    <s v="Health facilities (service delivery points)"/>
    <s v="Eastern"/>
    <n v="180752.76799999998"/>
    <n v="180752.76799999998"/>
    <n v="180752.76799999998"/>
    <n v="180752.76799999998"/>
    <n v="180752.76799999998"/>
    <n v="180752.76799999998"/>
    <n v="180752.76799999998"/>
    <n v="180752.76799999998"/>
    <n v="0"/>
    <n v="0"/>
    <n v="1446022.1439999996"/>
    <n v="180752.76799999998"/>
    <n v="180752.76799999998"/>
    <n v="180752.76799999998"/>
    <n v="180752.76799999998"/>
    <n v="180752.76799999998"/>
    <n v="180752.76799999998"/>
    <n v="180752.76799999998"/>
    <n v="180752.76799999998"/>
    <n v="0"/>
    <n v="0"/>
    <x v="3"/>
  </r>
  <r>
    <x v="1"/>
    <x v="75"/>
    <s v="Health facilities (service delivery points)"/>
    <s v="Luapula"/>
    <n v="125420.288"/>
    <n v="125420.288"/>
    <n v="125420.288"/>
    <n v="125420.288"/>
    <n v="125420.288"/>
    <n v="125420.288"/>
    <n v="125420.288"/>
    <n v="125420.288"/>
    <n v="0"/>
    <n v="0"/>
    <n v="1003362.3039999998"/>
    <n v="125420.288"/>
    <n v="125420.288"/>
    <n v="125420.288"/>
    <n v="125420.288"/>
    <n v="125420.288"/>
    <n v="125420.288"/>
    <n v="125420.288"/>
    <n v="125420.288"/>
    <n v="0"/>
    <n v="0"/>
    <x v="3"/>
  </r>
  <r>
    <x v="1"/>
    <x v="75"/>
    <s v="Health facilities (service delivery points)"/>
    <s v="Lusaka"/>
    <n v="240696.288"/>
    <n v="240696.288"/>
    <n v="240696.288"/>
    <n v="240696.288"/>
    <n v="240696.288"/>
    <n v="240696.288"/>
    <n v="240696.288"/>
    <n v="240696.288"/>
    <n v="0"/>
    <n v="0"/>
    <n v="1925570.3039999998"/>
    <n v="240696.288"/>
    <n v="240696.288"/>
    <n v="240696.288"/>
    <n v="240696.288"/>
    <n v="240696.288"/>
    <n v="240696.288"/>
    <n v="240696.288"/>
    <n v="240696.288"/>
    <n v="0"/>
    <n v="0"/>
    <x v="3"/>
  </r>
  <r>
    <x v="1"/>
    <x v="75"/>
    <s v="Health facilities (service delivery points)"/>
    <s v="Muchinga"/>
    <n v="86687.551999999996"/>
    <n v="86687.551999999996"/>
    <n v="86687.551999999996"/>
    <n v="86687.551999999996"/>
    <n v="86687.551999999996"/>
    <n v="86687.551999999996"/>
    <n v="86687.551999999996"/>
    <n v="86687.551999999996"/>
    <n v="0"/>
    <n v="0"/>
    <n v="693500.41600000008"/>
    <n v="86687.551999999996"/>
    <n v="86687.551999999996"/>
    <n v="86687.551999999996"/>
    <n v="86687.551999999996"/>
    <n v="86687.551999999996"/>
    <n v="86687.551999999996"/>
    <n v="86687.551999999996"/>
    <n v="86687.551999999996"/>
    <n v="0"/>
    <n v="0"/>
    <x v="3"/>
  </r>
  <r>
    <x v="1"/>
    <x v="75"/>
    <s v="Health facilities (service delivery points)"/>
    <s v="Northern"/>
    <n v="124498.08"/>
    <n v="124498.08"/>
    <n v="124498.08"/>
    <n v="124498.08"/>
    <n v="124498.08"/>
    <n v="124498.08"/>
    <n v="124498.08"/>
    <n v="124498.08"/>
    <n v="0"/>
    <n v="0"/>
    <n v="995984.6399999999"/>
    <n v="124498.08"/>
    <n v="124498.08"/>
    <n v="124498.08"/>
    <n v="124498.08"/>
    <n v="124498.08"/>
    <n v="124498.08"/>
    <n v="124498.08"/>
    <n v="124498.08"/>
    <n v="0"/>
    <n v="0"/>
    <x v="3"/>
  </r>
  <r>
    <x v="1"/>
    <x v="75"/>
    <s v="Health facilities (service delivery points)"/>
    <s v="North Western"/>
    <n v="142942.24"/>
    <n v="142942.24"/>
    <n v="142942.24"/>
    <n v="142942.24"/>
    <n v="142942.24"/>
    <n v="142942.24"/>
    <n v="142942.24"/>
    <n v="142942.24"/>
    <n v="0"/>
    <n v="0"/>
    <n v="1143537.92"/>
    <n v="142942.24"/>
    <n v="142942.24"/>
    <n v="142942.24"/>
    <n v="142942.24"/>
    <n v="142942.24"/>
    <n v="142942.24"/>
    <n v="142942.24"/>
    <n v="142942.24"/>
    <n v="0"/>
    <n v="0"/>
    <x v="3"/>
  </r>
  <r>
    <x v="1"/>
    <x v="75"/>
    <s v="Health facilities (service delivery points)"/>
    <s v="Southern"/>
    <n v="219485.50399999999"/>
    <n v="219485.50399999999"/>
    <n v="219485.50399999999"/>
    <n v="219485.50399999999"/>
    <n v="219485.50399999999"/>
    <n v="219485.50399999999"/>
    <n v="219485.50399999999"/>
    <n v="219485.50399999999"/>
    <n v="0"/>
    <n v="0"/>
    <n v="1755884.0319999999"/>
    <n v="219485.50399999999"/>
    <n v="219485.50399999999"/>
    <n v="219485.50399999999"/>
    <n v="219485.50399999999"/>
    <n v="219485.50399999999"/>
    <n v="219485.50399999999"/>
    <n v="219485.50399999999"/>
    <n v="219485.50399999999"/>
    <n v="0"/>
    <n v="0"/>
    <x v="3"/>
  </r>
  <r>
    <x v="1"/>
    <x v="75"/>
    <s v="Health facilities (service delivery points)"/>
    <s v="Western"/>
    <n v="147553.28"/>
    <n v="147553.28"/>
    <n v="147553.28"/>
    <n v="147553.28"/>
    <n v="147553.28"/>
    <n v="147553.28"/>
    <n v="147553.28"/>
    <n v="147553.28"/>
    <n v="0"/>
    <n v="0"/>
    <n v="1180426.24"/>
    <n v="147553.28"/>
    <n v="147553.28"/>
    <n v="147553.28"/>
    <n v="147553.28"/>
    <n v="147553.28"/>
    <n v="147553.28"/>
    <n v="147553.28"/>
    <n v="147553.28"/>
    <n v="0"/>
    <n v="0"/>
    <x v="3"/>
  </r>
  <r>
    <x v="1"/>
    <x v="75"/>
    <s v="Health facilities (service delivery points)"/>
    <n v="0"/>
    <n v="0"/>
    <n v="0"/>
    <n v="0"/>
    <n v="0"/>
    <n v="0"/>
    <n v="0"/>
    <n v="0"/>
    <n v="0"/>
    <n v="0"/>
    <n v="0"/>
    <n v="0"/>
    <n v="0"/>
    <n v="0"/>
    <n v="0"/>
    <n v="0"/>
    <n v="0"/>
    <n v="0"/>
    <n v="0"/>
    <n v="0"/>
    <n v="0"/>
    <n v="0"/>
    <x v="3"/>
  </r>
  <r>
    <x v="1"/>
    <x v="75"/>
    <s v="Health facilities (service delivery points)"/>
    <n v="0"/>
    <n v="0"/>
    <n v="0"/>
    <n v="0"/>
    <n v="0"/>
    <n v="0"/>
    <n v="0"/>
    <n v="0"/>
    <n v="0"/>
    <n v="0"/>
    <n v="0"/>
    <n v="0"/>
    <n v="0"/>
    <n v="0"/>
    <n v="0"/>
    <n v="0"/>
    <n v="0"/>
    <n v="0"/>
    <n v="0"/>
    <n v="0"/>
    <n v="0"/>
    <n v="0"/>
    <x v="3"/>
  </r>
  <r>
    <x v="1"/>
    <x v="75"/>
    <s v="Health facilities (service delivery points)"/>
    <n v="0"/>
    <n v="0"/>
    <n v="0"/>
    <n v="0"/>
    <n v="0"/>
    <n v="0"/>
    <n v="0"/>
    <n v="0"/>
    <n v="0"/>
    <n v="0"/>
    <n v="0"/>
    <n v="0"/>
    <n v="0"/>
    <n v="0"/>
    <n v="0"/>
    <n v="0"/>
    <n v="0"/>
    <n v="0"/>
    <n v="0"/>
    <n v="0"/>
    <n v="0"/>
    <n v="0"/>
    <x v="3"/>
  </r>
  <r>
    <x v="1"/>
    <x v="75"/>
    <s v="Health facilities (service delivery points)"/>
    <n v="0"/>
    <n v="0"/>
    <n v="0"/>
    <n v="0"/>
    <n v="0"/>
    <n v="0"/>
    <n v="0"/>
    <n v="0"/>
    <n v="0"/>
    <n v="0"/>
    <n v="0"/>
    <n v="0"/>
    <n v="0"/>
    <n v="0"/>
    <n v="0"/>
    <n v="0"/>
    <n v="0"/>
    <n v="0"/>
    <n v="0"/>
    <n v="0"/>
    <n v="0"/>
    <n v="0"/>
    <x v="3"/>
  </r>
  <r>
    <x v="1"/>
    <x v="75"/>
    <s v="Health facilities (service delivery points)"/>
    <n v="0"/>
    <n v="0"/>
    <n v="0"/>
    <n v="0"/>
    <n v="0"/>
    <n v="0"/>
    <n v="0"/>
    <n v="0"/>
    <n v="0"/>
    <n v="0"/>
    <n v="0"/>
    <n v="0"/>
    <n v="0"/>
    <n v="0"/>
    <n v="0"/>
    <n v="0"/>
    <n v="0"/>
    <n v="0"/>
    <n v="0"/>
    <n v="0"/>
    <n v="0"/>
    <n v="0"/>
    <x v="3"/>
  </r>
  <r>
    <x v="1"/>
    <x v="75"/>
    <s v="Health facilities (service delivery points)"/>
    <s v="National-level"/>
    <n v="0"/>
    <n v="0"/>
    <n v="0"/>
    <n v="0"/>
    <n v="0"/>
    <n v="0"/>
    <n v="0"/>
    <n v="0"/>
    <n v="0"/>
    <n v="0"/>
    <n v="0"/>
    <n v="0"/>
    <n v="0"/>
    <n v="0"/>
    <n v="0"/>
    <n v="0"/>
    <n v="0"/>
    <n v="0"/>
    <n v="0"/>
    <n v="0"/>
    <n v="0"/>
    <x v="3"/>
  </r>
  <r>
    <x v="1"/>
    <x v="76"/>
    <s v="Evenly by province/region"/>
    <s v="Central"/>
    <n v="0"/>
    <n v="8673.2991999999995"/>
    <n v="0"/>
    <n v="0"/>
    <n v="0"/>
    <n v="0"/>
    <n v="0"/>
    <n v="0"/>
    <n v="0"/>
    <n v="0"/>
    <n v="8673.2991999999995"/>
    <n v="0"/>
    <n v="8673.2991999999995"/>
    <n v="0"/>
    <n v="0"/>
    <n v="0"/>
    <n v="0"/>
    <n v="0"/>
    <n v="0"/>
    <n v="0"/>
    <n v="0"/>
    <x v="4"/>
  </r>
  <r>
    <x v="1"/>
    <x v="76"/>
    <s v="Evenly by province/region"/>
    <s v="Copperbelt"/>
    <n v="0"/>
    <n v="8673.2991999999995"/>
    <n v="0"/>
    <n v="0"/>
    <n v="0"/>
    <n v="0"/>
    <n v="0"/>
    <n v="0"/>
    <n v="0"/>
    <n v="0"/>
    <n v="8673.2991999999995"/>
    <n v="0"/>
    <n v="8673.2991999999995"/>
    <n v="0"/>
    <n v="0"/>
    <n v="0"/>
    <n v="0"/>
    <n v="0"/>
    <n v="0"/>
    <n v="0"/>
    <n v="0"/>
    <x v="4"/>
  </r>
  <r>
    <x v="1"/>
    <x v="76"/>
    <s v="Evenly by province/region"/>
    <s v="Eastern"/>
    <n v="0"/>
    <n v="8673.2991999999995"/>
    <n v="0"/>
    <n v="0"/>
    <n v="0"/>
    <n v="0"/>
    <n v="0"/>
    <n v="0"/>
    <n v="0"/>
    <n v="0"/>
    <n v="8673.2991999999995"/>
    <n v="0"/>
    <n v="8673.2991999999995"/>
    <n v="0"/>
    <n v="0"/>
    <n v="0"/>
    <n v="0"/>
    <n v="0"/>
    <n v="0"/>
    <n v="0"/>
    <n v="0"/>
    <x v="4"/>
  </r>
  <r>
    <x v="1"/>
    <x v="76"/>
    <s v="Evenly by province/region"/>
    <s v="Luapula"/>
    <n v="0"/>
    <n v="8673.2991999999995"/>
    <n v="0"/>
    <n v="0"/>
    <n v="0"/>
    <n v="0"/>
    <n v="0"/>
    <n v="0"/>
    <n v="0"/>
    <n v="0"/>
    <n v="8673.2991999999995"/>
    <n v="0"/>
    <n v="8673.2991999999995"/>
    <n v="0"/>
    <n v="0"/>
    <n v="0"/>
    <n v="0"/>
    <n v="0"/>
    <n v="0"/>
    <n v="0"/>
    <n v="0"/>
    <x v="4"/>
  </r>
  <r>
    <x v="1"/>
    <x v="76"/>
    <s v="Evenly by province/region"/>
    <s v="Lusaka"/>
    <n v="0"/>
    <n v="8673.2991999999995"/>
    <n v="0"/>
    <n v="0"/>
    <n v="0"/>
    <n v="0"/>
    <n v="0"/>
    <n v="0"/>
    <n v="0"/>
    <n v="0"/>
    <n v="8673.2991999999995"/>
    <n v="0"/>
    <n v="8673.2991999999995"/>
    <n v="0"/>
    <n v="0"/>
    <n v="0"/>
    <n v="0"/>
    <n v="0"/>
    <n v="0"/>
    <n v="0"/>
    <n v="0"/>
    <x v="4"/>
  </r>
  <r>
    <x v="1"/>
    <x v="76"/>
    <s v="Evenly by province/region"/>
    <s v="Muchinga"/>
    <n v="0"/>
    <n v="8673.2991999999995"/>
    <n v="0"/>
    <n v="0"/>
    <n v="0"/>
    <n v="0"/>
    <n v="0"/>
    <n v="0"/>
    <n v="0"/>
    <n v="0"/>
    <n v="8673.2991999999995"/>
    <n v="0"/>
    <n v="8673.2991999999995"/>
    <n v="0"/>
    <n v="0"/>
    <n v="0"/>
    <n v="0"/>
    <n v="0"/>
    <n v="0"/>
    <n v="0"/>
    <n v="0"/>
    <x v="4"/>
  </r>
  <r>
    <x v="1"/>
    <x v="76"/>
    <s v="Evenly by province/region"/>
    <s v="Northern"/>
    <n v="0"/>
    <n v="8673.2991999999995"/>
    <n v="0"/>
    <n v="0"/>
    <n v="0"/>
    <n v="0"/>
    <n v="0"/>
    <n v="0"/>
    <n v="0"/>
    <n v="0"/>
    <n v="8673.2991999999995"/>
    <n v="0"/>
    <n v="8673.2991999999995"/>
    <n v="0"/>
    <n v="0"/>
    <n v="0"/>
    <n v="0"/>
    <n v="0"/>
    <n v="0"/>
    <n v="0"/>
    <n v="0"/>
    <x v="4"/>
  </r>
  <r>
    <x v="1"/>
    <x v="76"/>
    <s v="Evenly by province/region"/>
    <s v="North Western"/>
    <n v="0"/>
    <n v="8673.2991999999995"/>
    <n v="0"/>
    <n v="0"/>
    <n v="0"/>
    <n v="0"/>
    <n v="0"/>
    <n v="0"/>
    <n v="0"/>
    <n v="0"/>
    <n v="8673.2991999999995"/>
    <n v="0"/>
    <n v="8673.2991999999995"/>
    <n v="0"/>
    <n v="0"/>
    <n v="0"/>
    <n v="0"/>
    <n v="0"/>
    <n v="0"/>
    <n v="0"/>
    <n v="0"/>
    <x v="4"/>
  </r>
  <r>
    <x v="1"/>
    <x v="76"/>
    <s v="Evenly by province/region"/>
    <s v="Southern"/>
    <n v="0"/>
    <n v="8673.2991999999995"/>
    <n v="0"/>
    <n v="0"/>
    <n v="0"/>
    <n v="0"/>
    <n v="0"/>
    <n v="0"/>
    <n v="0"/>
    <n v="0"/>
    <n v="8673.2991999999995"/>
    <n v="0"/>
    <n v="8673.2991999999995"/>
    <n v="0"/>
    <n v="0"/>
    <n v="0"/>
    <n v="0"/>
    <n v="0"/>
    <n v="0"/>
    <n v="0"/>
    <n v="0"/>
    <x v="4"/>
  </r>
  <r>
    <x v="1"/>
    <x v="76"/>
    <s v="Evenly by province/region"/>
    <s v="Western"/>
    <n v="0"/>
    <n v="8673.2991999999995"/>
    <n v="0"/>
    <n v="0"/>
    <n v="0"/>
    <n v="0"/>
    <n v="0"/>
    <n v="0"/>
    <n v="0"/>
    <n v="0"/>
    <n v="8673.2991999999995"/>
    <n v="0"/>
    <n v="8673.2991999999995"/>
    <n v="0"/>
    <n v="0"/>
    <n v="0"/>
    <n v="0"/>
    <n v="0"/>
    <n v="0"/>
    <n v="0"/>
    <n v="0"/>
    <x v="4"/>
  </r>
  <r>
    <x v="1"/>
    <x v="76"/>
    <s v="Evenly by province/region"/>
    <n v="0"/>
    <n v="0"/>
    <n v="0"/>
    <n v="0"/>
    <n v="0"/>
    <n v="0"/>
    <n v="0"/>
    <n v="0"/>
    <n v="0"/>
    <n v="0"/>
    <n v="0"/>
    <n v="0"/>
    <n v="0"/>
    <n v="0"/>
    <n v="0"/>
    <n v="0"/>
    <n v="0"/>
    <n v="0"/>
    <n v="0"/>
    <n v="0"/>
    <n v="0"/>
    <n v="0"/>
    <x v="4"/>
  </r>
  <r>
    <x v="1"/>
    <x v="76"/>
    <s v="Evenly by province/region"/>
    <n v="0"/>
    <n v="0"/>
    <n v="0"/>
    <n v="0"/>
    <n v="0"/>
    <n v="0"/>
    <n v="0"/>
    <n v="0"/>
    <n v="0"/>
    <n v="0"/>
    <n v="0"/>
    <n v="0"/>
    <n v="0"/>
    <n v="0"/>
    <n v="0"/>
    <n v="0"/>
    <n v="0"/>
    <n v="0"/>
    <n v="0"/>
    <n v="0"/>
    <n v="0"/>
    <n v="0"/>
    <x v="4"/>
  </r>
  <r>
    <x v="1"/>
    <x v="76"/>
    <s v="Evenly by province/region"/>
    <n v="0"/>
    <n v="0"/>
    <n v="0"/>
    <n v="0"/>
    <n v="0"/>
    <n v="0"/>
    <n v="0"/>
    <n v="0"/>
    <n v="0"/>
    <n v="0"/>
    <n v="0"/>
    <n v="0"/>
    <n v="0"/>
    <n v="0"/>
    <n v="0"/>
    <n v="0"/>
    <n v="0"/>
    <n v="0"/>
    <n v="0"/>
    <n v="0"/>
    <n v="0"/>
    <n v="0"/>
    <x v="4"/>
  </r>
  <r>
    <x v="1"/>
    <x v="76"/>
    <s v="Evenly by province/region"/>
    <n v="0"/>
    <n v="0"/>
    <n v="0"/>
    <n v="0"/>
    <n v="0"/>
    <n v="0"/>
    <n v="0"/>
    <n v="0"/>
    <n v="0"/>
    <n v="0"/>
    <n v="0"/>
    <n v="0"/>
    <n v="0"/>
    <n v="0"/>
    <n v="0"/>
    <n v="0"/>
    <n v="0"/>
    <n v="0"/>
    <n v="0"/>
    <n v="0"/>
    <n v="0"/>
    <n v="0"/>
    <x v="4"/>
  </r>
  <r>
    <x v="1"/>
    <x v="76"/>
    <s v="Evenly by province/region"/>
    <n v="0"/>
    <n v="0"/>
    <n v="0"/>
    <n v="0"/>
    <n v="0"/>
    <n v="0"/>
    <n v="0"/>
    <n v="0"/>
    <n v="0"/>
    <n v="0"/>
    <n v="0"/>
    <n v="0"/>
    <n v="0"/>
    <n v="0"/>
    <n v="0"/>
    <n v="0"/>
    <n v="0"/>
    <n v="0"/>
    <n v="0"/>
    <n v="0"/>
    <n v="0"/>
    <n v="0"/>
    <x v="4"/>
  </r>
  <r>
    <x v="1"/>
    <x v="76"/>
    <s v="Evenly by province/region"/>
    <s v="National-level"/>
    <n v="0"/>
    <n v="0"/>
    <n v="0"/>
    <n v="0"/>
    <n v="0"/>
    <n v="0"/>
    <n v="0"/>
    <n v="0"/>
    <n v="0"/>
    <n v="0"/>
    <n v="0"/>
    <n v="0"/>
    <n v="0"/>
    <n v="0"/>
    <n v="0"/>
    <n v="0"/>
    <n v="0"/>
    <n v="0"/>
    <n v="0"/>
    <n v="0"/>
    <n v="0"/>
    <x v="4"/>
  </r>
  <r>
    <x v="1"/>
    <x v="77"/>
    <s v="Central level"/>
    <s v="Central"/>
    <n v="0"/>
    <n v="0"/>
    <n v="0"/>
    <n v="0"/>
    <n v="0"/>
    <n v="0"/>
    <n v="0"/>
    <n v="0"/>
    <n v="0"/>
    <n v="0"/>
    <n v="0"/>
    <n v="0"/>
    <n v="0"/>
    <n v="0"/>
    <n v="0"/>
    <n v="0"/>
    <n v="0"/>
    <n v="0"/>
    <n v="0"/>
    <n v="0"/>
    <n v="0"/>
    <x v="4"/>
  </r>
  <r>
    <x v="1"/>
    <x v="77"/>
    <s v="Central level"/>
    <s v="Copperbelt"/>
    <n v="0"/>
    <n v="0"/>
    <n v="0"/>
    <n v="0"/>
    <n v="0"/>
    <n v="0"/>
    <n v="0"/>
    <n v="0"/>
    <n v="0"/>
    <n v="0"/>
    <n v="0"/>
    <n v="0"/>
    <n v="0"/>
    <n v="0"/>
    <n v="0"/>
    <n v="0"/>
    <n v="0"/>
    <n v="0"/>
    <n v="0"/>
    <n v="0"/>
    <n v="0"/>
    <x v="4"/>
  </r>
  <r>
    <x v="1"/>
    <x v="77"/>
    <s v="Central level"/>
    <s v="Eastern"/>
    <n v="0"/>
    <n v="0"/>
    <n v="0"/>
    <n v="0"/>
    <n v="0"/>
    <n v="0"/>
    <n v="0"/>
    <n v="0"/>
    <n v="0"/>
    <n v="0"/>
    <n v="0"/>
    <n v="0"/>
    <n v="0"/>
    <n v="0"/>
    <n v="0"/>
    <n v="0"/>
    <n v="0"/>
    <n v="0"/>
    <n v="0"/>
    <n v="0"/>
    <n v="0"/>
    <x v="4"/>
  </r>
  <r>
    <x v="1"/>
    <x v="77"/>
    <s v="Central level"/>
    <s v="Luapula"/>
    <n v="0"/>
    <n v="0"/>
    <n v="0"/>
    <n v="0"/>
    <n v="0"/>
    <n v="0"/>
    <n v="0"/>
    <n v="0"/>
    <n v="0"/>
    <n v="0"/>
    <n v="0"/>
    <n v="0"/>
    <n v="0"/>
    <n v="0"/>
    <n v="0"/>
    <n v="0"/>
    <n v="0"/>
    <n v="0"/>
    <n v="0"/>
    <n v="0"/>
    <n v="0"/>
    <x v="4"/>
  </r>
  <r>
    <x v="1"/>
    <x v="77"/>
    <s v="Central level"/>
    <s v="Lusaka"/>
    <n v="0"/>
    <n v="0"/>
    <n v="0"/>
    <n v="0"/>
    <n v="0"/>
    <n v="0"/>
    <n v="0"/>
    <n v="0"/>
    <n v="0"/>
    <n v="0"/>
    <n v="0"/>
    <n v="0"/>
    <n v="0"/>
    <n v="0"/>
    <n v="0"/>
    <n v="0"/>
    <n v="0"/>
    <n v="0"/>
    <n v="0"/>
    <n v="0"/>
    <n v="0"/>
    <x v="4"/>
  </r>
  <r>
    <x v="1"/>
    <x v="77"/>
    <s v="Central level"/>
    <s v="Muchinga"/>
    <n v="0"/>
    <n v="0"/>
    <n v="0"/>
    <n v="0"/>
    <n v="0"/>
    <n v="0"/>
    <n v="0"/>
    <n v="0"/>
    <n v="0"/>
    <n v="0"/>
    <n v="0"/>
    <n v="0"/>
    <n v="0"/>
    <n v="0"/>
    <n v="0"/>
    <n v="0"/>
    <n v="0"/>
    <n v="0"/>
    <n v="0"/>
    <n v="0"/>
    <n v="0"/>
    <x v="4"/>
  </r>
  <r>
    <x v="1"/>
    <x v="77"/>
    <s v="Central level"/>
    <s v="Northern"/>
    <n v="0"/>
    <n v="0"/>
    <n v="0"/>
    <n v="0"/>
    <n v="0"/>
    <n v="0"/>
    <n v="0"/>
    <n v="0"/>
    <n v="0"/>
    <n v="0"/>
    <n v="0"/>
    <n v="0"/>
    <n v="0"/>
    <n v="0"/>
    <n v="0"/>
    <n v="0"/>
    <n v="0"/>
    <n v="0"/>
    <n v="0"/>
    <n v="0"/>
    <n v="0"/>
    <x v="4"/>
  </r>
  <r>
    <x v="1"/>
    <x v="77"/>
    <s v="Central level"/>
    <s v="North Western"/>
    <n v="0"/>
    <n v="0"/>
    <n v="0"/>
    <n v="0"/>
    <n v="0"/>
    <n v="0"/>
    <n v="0"/>
    <n v="0"/>
    <n v="0"/>
    <n v="0"/>
    <n v="0"/>
    <n v="0"/>
    <n v="0"/>
    <n v="0"/>
    <n v="0"/>
    <n v="0"/>
    <n v="0"/>
    <n v="0"/>
    <n v="0"/>
    <n v="0"/>
    <n v="0"/>
    <x v="4"/>
  </r>
  <r>
    <x v="1"/>
    <x v="77"/>
    <s v="Central level"/>
    <s v="Southern"/>
    <n v="0"/>
    <n v="0"/>
    <n v="0"/>
    <n v="0"/>
    <n v="0"/>
    <n v="0"/>
    <n v="0"/>
    <n v="0"/>
    <n v="0"/>
    <n v="0"/>
    <n v="0"/>
    <n v="0"/>
    <n v="0"/>
    <n v="0"/>
    <n v="0"/>
    <n v="0"/>
    <n v="0"/>
    <n v="0"/>
    <n v="0"/>
    <n v="0"/>
    <n v="0"/>
    <x v="4"/>
  </r>
  <r>
    <x v="1"/>
    <x v="77"/>
    <s v="Central level"/>
    <s v="Western"/>
    <n v="0"/>
    <n v="0"/>
    <n v="0"/>
    <n v="0"/>
    <n v="0"/>
    <n v="0"/>
    <n v="0"/>
    <n v="0"/>
    <n v="0"/>
    <n v="0"/>
    <n v="0"/>
    <n v="0"/>
    <n v="0"/>
    <n v="0"/>
    <n v="0"/>
    <n v="0"/>
    <n v="0"/>
    <n v="0"/>
    <n v="0"/>
    <n v="0"/>
    <n v="0"/>
    <x v="4"/>
  </r>
  <r>
    <x v="1"/>
    <x v="77"/>
    <s v="Central level"/>
    <n v="0"/>
    <n v="0"/>
    <n v="0"/>
    <n v="0"/>
    <n v="0"/>
    <n v="0"/>
    <n v="0"/>
    <n v="0"/>
    <n v="0"/>
    <n v="0"/>
    <n v="0"/>
    <n v="0"/>
    <n v="0"/>
    <n v="0"/>
    <n v="0"/>
    <n v="0"/>
    <n v="0"/>
    <n v="0"/>
    <n v="0"/>
    <n v="0"/>
    <n v="0"/>
    <n v="0"/>
    <x v="4"/>
  </r>
  <r>
    <x v="1"/>
    <x v="77"/>
    <s v="Central level"/>
    <n v="0"/>
    <n v="0"/>
    <n v="0"/>
    <n v="0"/>
    <n v="0"/>
    <n v="0"/>
    <n v="0"/>
    <n v="0"/>
    <n v="0"/>
    <n v="0"/>
    <n v="0"/>
    <n v="0"/>
    <n v="0"/>
    <n v="0"/>
    <n v="0"/>
    <n v="0"/>
    <n v="0"/>
    <n v="0"/>
    <n v="0"/>
    <n v="0"/>
    <n v="0"/>
    <n v="0"/>
    <x v="4"/>
  </r>
  <r>
    <x v="1"/>
    <x v="77"/>
    <s v="Central level"/>
    <n v="0"/>
    <n v="0"/>
    <n v="0"/>
    <n v="0"/>
    <n v="0"/>
    <n v="0"/>
    <n v="0"/>
    <n v="0"/>
    <n v="0"/>
    <n v="0"/>
    <n v="0"/>
    <n v="0"/>
    <n v="0"/>
    <n v="0"/>
    <n v="0"/>
    <n v="0"/>
    <n v="0"/>
    <n v="0"/>
    <n v="0"/>
    <n v="0"/>
    <n v="0"/>
    <n v="0"/>
    <x v="4"/>
  </r>
  <r>
    <x v="1"/>
    <x v="77"/>
    <s v="Central level"/>
    <n v="0"/>
    <n v="0"/>
    <n v="0"/>
    <n v="0"/>
    <n v="0"/>
    <n v="0"/>
    <n v="0"/>
    <n v="0"/>
    <n v="0"/>
    <n v="0"/>
    <n v="0"/>
    <n v="0"/>
    <n v="0"/>
    <n v="0"/>
    <n v="0"/>
    <n v="0"/>
    <n v="0"/>
    <n v="0"/>
    <n v="0"/>
    <n v="0"/>
    <n v="0"/>
    <n v="0"/>
    <x v="4"/>
  </r>
  <r>
    <x v="1"/>
    <x v="77"/>
    <s v="Central level"/>
    <n v="0"/>
    <n v="0"/>
    <n v="0"/>
    <n v="0"/>
    <n v="0"/>
    <n v="0"/>
    <n v="0"/>
    <n v="0"/>
    <n v="0"/>
    <n v="0"/>
    <n v="0"/>
    <n v="0"/>
    <n v="0"/>
    <n v="0"/>
    <n v="0"/>
    <n v="0"/>
    <n v="0"/>
    <n v="0"/>
    <n v="0"/>
    <n v="0"/>
    <n v="0"/>
    <n v="0"/>
    <x v="4"/>
  </r>
  <r>
    <x v="1"/>
    <x v="77"/>
    <s v="Central level"/>
    <s v="National-level"/>
    <n v="0"/>
    <n v="392584.88"/>
    <n v="0"/>
    <n v="0"/>
    <n v="0"/>
    <n v="0"/>
    <n v="0"/>
    <n v="0"/>
    <n v="0"/>
    <n v="0"/>
    <n v="392584.88"/>
    <n v="0"/>
    <n v="392584.88"/>
    <n v="0"/>
    <n v="0"/>
    <n v="0"/>
    <n v="0"/>
    <n v="0"/>
    <n v="0"/>
    <n v="0"/>
    <n v="0"/>
    <x v="4"/>
  </r>
  <r>
    <x v="1"/>
    <x v="78"/>
    <s v="Central level"/>
    <s v="Central"/>
    <n v="0"/>
    <n v="0"/>
    <n v="0"/>
    <n v="0"/>
    <n v="0"/>
    <n v="0"/>
    <n v="0"/>
    <n v="0"/>
    <n v="0"/>
    <n v="0"/>
    <n v="0"/>
    <n v="0"/>
    <n v="0"/>
    <n v="0"/>
    <n v="0"/>
    <n v="0"/>
    <n v="0"/>
    <n v="0"/>
    <n v="0"/>
    <n v="0"/>
    <n v="0"/>
    <x v="1"/>
  </r>
  <r>
    <x v="1"/>
    <x v="78"/>
    <s v="Central level"/>
    <s v="Copperbelt"/>
    <n v="0"/>
    <n v="0"/>
    <n v="0"/>
    <n v="0"/>
    <n v="0"/>
    <n v="0"/>
    <n v="0"/>
    <n v="0"/>
    <n v="0"/>
    <n v="0"/>
    <n v="0"/>
    <n v="0"/>
    <n v="0"/>
    <n v="0"/>
    <n v="0"/>
    <n v="0"/>
    <n v="0"/>
    <n v="0"/>
    <n v="0"/>
    <n v="0"/>
    <n v="0"/>
    <x v="1"/>
  </r>
  <r>
    <x v="1"/>
    <x v="78"/>
    <s v="Central level"/>
    <s v="Eastern"/>
    <n v="0"/>
    <n v="0"/>
    <n v="0"/>
    <n v="0"/>
    <n v="0"/>
    <n v="0"/>
    <n v="0"/>
    <n v="0"/>
    <n v="0"/>
    <n v="0"/>
    <n v="0"/>
    <n v="0"/>
    <n v="0"/>
    <n v="0"/>
    <n v="0"/>
    <n v="0"/>
    <n v="0"/>
    <n v="0"/>
    <n v="0"/>
    <n v="0"/>
    <n v="0"/>
    <x v="1"/>
  </r>
  <r>
    <x v="1"/>
    <x v="78"/>
    <s v="Central level"/>
    <s v="Luapula"/>
    <n v="0"/>
    <n v="0"/>
    <n v="0"/>
    <n v="0"/>
    <n v="0"/>
    <n v="0"/>
    <n v="0"/>
    <n v="0"/>
    <n v="0"/>
    <n v="0"/>
    <n v="0"/>
    <n v="0"/>
    <n v="0"/>
    <n v="0"/>
    <n v="0"/>
    <n v="0"/>
    <n v="0"/>
    <n v="0"/>
    <n v="0"/>
    <n v="0"/>
    <n v="0"/>
    <x v="1"/>
  </r>
  <r>
    <x v="1"/>
    <x v="78"/>
    <s v="Central level"/>
    <s v="Lusaka"/>
    <n v="0"/>
    <n v="0"/>
    <n v="0"/>
    <n v="0"/>
    <n v="0"/>
    <n v="0"/>
    <n v="0"/>
    <n v="0"/>
    <n v="0"/>
    <n v="0"/>
    <n v="0"/>
    <n v="0"/>
    <n v="0"/>
    <n v="0"/>
    <n v="0"/>
    <n v="0"/>
    <n v="0"/>
    <n v="0"/>
    <n v="0"/>
    <n v="0"/>
    <n v="0"/>
    <x v="1"/>
  </r>
  <r>
    <x v="1"/>
    <x v="78"/>
    <s v="Central level"/>
    <s v="Muchinga"/>
    <n v="0"/>
    <n v="0"/>
    <n v="0"/>
    <n v="0"/>
    <n v="0"/>
    <n v="0"/>
    <n v="0"/>
    <n v="0"/>
    <n v="0"/>
    <n v="0"/>
    <n v="0"/>
    <n v="0"/>
    <n v="0"/>
    <n v="0"/>
    <n v="0"/>
    <n v="0"/>
    <n v="0"/>
    <n v="0"/>
    <n v="0"/>
    <n v="0"/>
    <n v="0"/>
    <x v="1"/>
  </r>
  <r>
    <x v="1"/>
    <x v="78"/>
    <s v="Central level"/>
    <s v="Northern"/>
    <n v="0"/>
    <n v="0"/>
    <n v="0"/>
    <n v="0"/>
    <n v="0"/>
    <n v="0"/>
    <n v="0"/>
    <n v="0"/>
    <n v="0"/>
    <n v="0"/>
    <n v="0"/>
    <n v="0"/>
    <n v="0"/>
    <n v="0"/>
    <n v="0"/>
    <n v="0"/>
    <n v="0"/>
    <n v="0"/>
    <n v="0"/>
    <n v="0"/>
    <n v="0"/>
    <x v="1"/>
  </r>
  <r>
    <x v="1"/>
    <x v="78"/>
    <s v="Central level"/>
    <s v="North Western"/>
    <n v="0"/>
    <n v="0"/>
    <n v="0"/>
    <n v="0"/>
    <n v="0"/>
    <n v="0"/>
    <n v="0"/>
    <n v="0"/>
    <n v="0"/>
    <n v="0"/>
    <n v="0"/>
    <n v="0"/>
    <n v="0"/>
    <n v="0"/>
    <n v="0"/>
    <n v="0"/>
    <n v="0"/>
    <n v="0"/>
    <n v="0"/>
    <n v="0"/>
    <n v="0"/>
    <x v="1"/>
  </r>
  <r>
    <x v="1"/>
    <x v="78"/>
    <s v="Central level"/>
    <s v="Southern"/>
    <n v="0"/>
    <n v="0"/>
    <n v="0"/>
    <n v="0"/>
    <n v="0"/>
    <n v="0"/>
    <n v="0"/>
    <n v="0"/>
    <n v="0"/>
    <n v="0"/>
    <n v="0"/>
    <n v="0"/>
    <n v="0"/>
    <n v="0"/>
    <n v="0"/>
    <n v="0"/>
    <n v="0"/>
    <n v="0"/>
    <n v="0"/>
    <n v="0"/>
    <n v="0"/>
    <x v="1"/>
  </r>
  <r>
    <x v="1"/>
    <x v="78"/>
    <s v="Central level"/>
    <s v="Western"/>
    <n v="0"/>
    <n v="0"/>
    <n v="0"/>
    <n v="0"/>
    <n v="0"/>
    <n v="0"/>
    <n v="0"/>
    <n v="0"/>
    <n v="0"/>
    <n v="0"/>
    <n v="0"/>
    <n v="0"/>
    <n v="0"/>
    <n v="0"/>
    <n v="0"/>
    <n v="0"/>
    <n v="0"/>
    <n v="0"/>
    <n v="0"/>
    <n v="0"/>
    <n v="0"/>
    <x v="1"/>
  </r>
  <r>
    <x v="1"/>
    <x v="78"/>
    <s v="Central level"/>
    <n v="0"/>
    <n v="0"/>
    <n v="0"/>
    <n v="0"/>
    <n v="0"/>
    <n v="0"/>
    <n v="0"/>
    <n v="0"/>
    <n v="0"/>
    <n v="0"/>
    <n v="0"/>
    <n v="0"/>
    <n v="0"/>
    <n v="0"/>
    <n v="0"/>
    <n v="0"/>
    <n v="0"/>
    <n v="0"/>
    <n v="0"/>
    <n v="0"/>
    <n v="0"/>
    <n v="0"/>
    <x v="1"/>
  </r>
  <r>
    <x v="1"/>
    <x v="78"/>
    <s v="Central level"/>
    <n v="0"/>
    <n v="0"/>
    <n v="0"/>
    <n v="0"/>
    <n v="0"/>
    <n v="0"/>
    <n v="0"/>
    <n v="0"/>
    <n v="0"/>
    <n v="0"/>
    <n v="0"/>
    <n v="0"/>
    <n v="0"/>
    <n v="0"/>
    <n v="0"/>
    <n v="0"/>
    <n v="0"/>
    <n v="0"/>
    <n v="0"/>
    <n v="0"/>
    <n v="0"/>
    <n v="0"/>
    <x v="1"/>
  </r>
  <r>
    <x v="1"/>
    <x v="78"/>
    <s v="Central level"/>
    <n v="0"/>
    <n v="0"/>
    <n v="0"/>
    <n v="0"/>
    <n v="0"/>
    <n v="0"/>
    <n v="0"/>
    <n v="0"/>
    <n v="0"/>
    <n v="0"/>
    <n v="0"/>
    <n v="0"/>
    <n v="0"/>
    <n v="0"/>
    <n v="0"/>
    <n v="0"/>
    <n v="0"/>
    <n v="0"/>
    <n v="0"/>
    <n v="0"/>
    <n v="0"/>
    <n v="0"/>
    <x v="1"/>
  </r>
  <r>
    <x v="1"/>
    <x v="78"/>
    <s v="Central level"/>
    <n v="0"/>
    <n v="0"/>
    <n v="0"/>
    <n v="0"/>
    <n v="0"/>
    <n v="0"/>
    <n v="0"/>
    <n v="0"/>
    <n v="0"/>
    <n v="0"/>
    <n v="0"/>
    <n v="0"/>
    <n v="0"/>
    <n v="0"/>
    <n v="0"/>
    <n v="0"/>
    <n v="0"/>
    <n v="0"/>
    <n v="0"/>
    <n v="0"/>
    <n v="0"/>
    <n v="0"/>
    <x v="1"/>
  </r>
  <r>
    <x v="1"/>
    <x v="78"/>
    <s v="Central level"/>
    <n v="0"/>
    <n v="0"/>
    <n v="0"/>
    <n v="0"/>
    <n v="0"/>
    <n v="0"/>
    <n v="0"/>
    <n v="0"/>
    <n v="0"/>
    <n v="0"/>
    <n v="0"/>
    <n v="0"/>
    <n v="0"/>
    <n v="0"/>
    <n v="0"/>
    <n v="0"/>
    <n v="0"/>
    <n v="0"/>
    <n v="0"/>
    <n v="0"/>
    <n v="0"/>
    <n v="0"/>
    <x v="1"/>
  </r>
  <r>
    <x v="1"/>
    <x v="78"/>
    <s v="Central level"/>
    <s v="National-level"/>
    <n v="0"/>
    <n v="0"/>
    <n v="1878778.068"/>
    <n v="0"/>
    <n v="0"/>
    <n v="0"/>
    <n v="0"/>
    <n v="0"/>
    <n v="0"/>
    <n v="0"/>
    <n v="1878778.068"/>
    <n v="0"/>
    <n v="0"/>
    <n v="1878778.068"/>
    <n v="0"/>
    <n v="0"/>
    <n v="0"/>
    <n v="0"/>
    <n v="0"/>
    <n v="0"/>
    <n v="0"/>
    <x v="1"/>
  </r>
  <r>
    <x v="1"/>
    <x v="79"/>
    <s v="Health facilities (service delivery points)"/>
    <s v="Central"/>
    <n v="0"/>
    <n v="0"/>
    <n v="0"/>
    <n v="0"/>
    <n v="286436.5995762712"/>
    <n v="0"/>
    <n v="0"/>
    <n v="286436.5995762712"/>
    <n v="0"/>
    <n v="0"/>
    <n v="572873.19915254239"/>
    <n v="0"/>
    <n v="0"/>
    <n v="0"/>
    <n v="0"/>
    <n v="286436.5995762712"/>
    <n v="0"/>
    <n v="0"/>
    <n v="286436.5995762712"/>
    <n v="0"/>
    <n v="0"/>
    <x v="1"/>
  </r>
  <r>
    <x v="1"/>
    <x v="79"/>
    <s v="Health facilities (service delivery points)"/>
    <s v="Copperbelt"/>
    <n v="0"/>
    <n v="0"/>
    <n v="0"/>
    <n v="0"/>
    <n v="342132.60504943505"/>
    <n v="0"/>
    <n v="0"/>
    <n v="342132.60504943505"/>
    <n v="0"/>
    <n v="0"/>
    <n v="684265.2100988701"/>
    <n v="0"/>
    <n v="0"/>
    <n v="0"/>
    <n v="0"/>
    <n v="342132.60504943505"/>
    <n v="0"/>
    <n v="0"/>
    <n v="342132.60504943505"/>
    <n v="0"/>
    <n v="0"/>
    <x v="1"/>
  </r>
  <r>
    <x v="1"/>
    <x v="79"/>
    <s v="Health facilities (service delivery points)"/>
    <s v="Eastern"/>
    <n v="0"/>
    <n v="0"/>
    <n v="0"/>
    <n v="0"/>
    <n v="311897.63064971752"/>
    <n v="0"/>
    <n v="0"/>
    <n v="311897.63064971752"/>
    <n v="0"/>
    <n v="0"/>
    <n v="623795.26129943505"/>
    <n v="0"/>
    <n v="0"/>
    <n v="0"/>
    <n v="0"/>
    <n v="311897.63064971752"/>
    <n v="0"/>
    <n v="0"/>
    <n v="311897.63064971752"/>
    <n v="0"/>
    <n v="0"/>
    <x v="1"/>
  </r>
  <r>
    <x v="1"/>
    <x v="79"/>
    <s v="Health facilities (service delivery points)"/>
    <s v="Luapula"/>
    <n v="0"/>
    <n v="0"/>
    <n v="0"/>
    <n v="0"/>
    <n v="216418.76412429381"/>
    <n v="0"/>
    <n v="0"/>
    <n v="216418.76412429381"/>
    <n v="0"/>
    <n v="0"/>
    <n v="432837.52824858762"/>
    <n v="0"/>
    <n v="0"/>
    <n v="0"/>
    <n v="0"/>
    <n v="216418.76412429381"/>
    <n v="0"/>
    <n v="0"/>
    <n v="216418.76412429381"/>
    <n v="0"/>
    <n v="0"/>
    <x v="1"/>
  </r>
  <r>
    <x v="1"/>
    <x v="79"/>
    <s v="Health facilities (service delivery points)"/>
    <s v="Lusaka"/>
    <n v="0"/>
    <n v="0"/>
    <n v="0"/>
    <n v="0"/>
    <n v="415333.06938559323"/>
    <n v="0"/>
    <n v="0"/>
    <n v="415333.06938559323"/>
    <n v="0"/>
    <n v="0"/>
    <n v="830666.13877118647"/>
    <n v="0"/>
    <n v="0"/>
    <n v="0"/>
    <n v="0"/>
    <n v="415333.06938559323"/>
    <n v="0"/>
    <n v="0"/>
    <n v="415333.06938559323"/>
    <n v="0"/>
    <n v="0"/>
    <x v="1"/>
  </r>
  <r>
    <x v="1"/>
    <x v="79"/>
    <s v="Health facilities (service delivery points)"/>
    <s v="Muchinga"/>
    <n v="0"/>
    <n v="0"/>
    <n v="0"/>
    <n v="0"/>
    <n v="149583.55755649717"/>
    <n v="0"/>
    <n v="0"/>
    <n v="149583.55755649717"/>
    <n v="0"/>
    <n v="0"/>
    <n v="299167.11511299433"/>
    <n v="0"/>
    <n v="0"/>
    <n v="0"/>
    <n v="0"/>
    <n v="149583.55755649717"/>
    <n v="0"/>
    <n v="0"/>
    <n v="149583.55755649717"/>
    <n v="0"/>
    <n v="0"/>
    <x v="1"/>
  </r>
  <r>
    <x v="1"/>
    <x v="79"/>
    <s v="Health facilities (service delivery points)"/>
    <s v="Northern"/>
    <n v="0"/>
    <n v="0"/>
    <n v="0"/>
    <n v="0"/>
    <n v="214827.44968220341"/>
    <n v="0"/>
    <n v="0"/>
    <n v="214827.44968220341"/>
    <n v="0"/>
    <n v="0"/>
    <n v="429654.89936440683"/>
    <n v="0"/>
    <n v="0"/>
    <n v="0"/>
    <n v="0"/>
    <n v="214827.44968220341"/>
    <n v="0"/>
    <n v="0"/>
    <n v="214827.44968220341"/>
    <n v="0"/>
    <n v="0"/>
    <x v="1"/>
  </r>
  <r>
    <x v="1"/>
    <x v="79"/>
    <s v="Health facilities (service delivery points)"/>
    <s v="North Western"/>
    <n v="0"/>
    <n v="0"/>
    <n v="0"/>
    <n v="0"/>
    <n v="246653.73852401131"/>
    <n v="0"/>
    <n v="0"/>
    <n v="246653.73852401131"/>
    <n v="0"/>
    <n v="0"/>
    <n v="493307.47704802261"/>
    <n v="0"/>
    <n v="0"/>
    <n v="0"/>
    <n v="0"/>
    <n v="246653.73852401131"/>
    <n v="0"/>
    <n v="0"/>
    <n v="246653.73852401131"/>
    <n v="0"/>
    <n v="0"/>
    <x v="1"/>
  </r>
  <r>
    <x v="1"/>
    <x v="79"/>
    <s v="Health facilities (service delivery points)"/>
    <s v="Southern"/>
    <n v="0"/>
    <n v="0"/>
    <n v="0"/>
    <n v="0"/>
    <n v="378732.83721751411"/>
    <n v="0"/>
    <n v="0"/>
    <n v="378732.83721751411"/>
    <n v="0"/>
    <n v="0"/>
    <n v="757465.67443502822"/>
    <n v="0"/>
    <n v="0"/>
    <n v="0"/>
    <n v="0"/>
    <n v="378732.83721751411"/>
    <n v="0"/>
    <n v="0"/>
    <n v="378732.83721751411"/>
    <n v="0"/>
    <n v="0"/>
    <x v="1"/>
  </r>
  <r>
    <x v="1"/>
    <x v="79"/>
    <s v="Health facilities (service delivery points)"/>
    <s v="Western"/>
    <n v="0"/>
    <n v="0"/>
    <n v="0"/>
    <n v="0"/>
    <n v="254610.31073446327"/>
    <n v="0"/>
    <n v="0"/>
    <n v="254610.31073446327"/>
    <n v="0"/>
    <n v="0"/>
    <n v="509220.62146892655"/>
    <n v="0"/>
    <n v="0"/>
    <n v="0"/>
    <n v="0"/>
    <n v="254610.31073446327"/>
    <n v="0"/>
    <n v="0"/>
    <n v="254610.31073446327"/>
    <n v="0"/>
    <n v="0"/>
    <x v="1"/>
  </r>
  <r>
    <x v="1"/>
    <x v="79"/>
    <s v="Health facilities (service delivery points)"/>
    <n v="0"/>
    <n v="0"/>
    <n v="0"/>
    <n v="0"/>
    <n v="0"/>
    <n v="0"/>
    <n v="0"/>
    <n v="0"/>
    <n v="0"/>
    <n v="0"/>
    <n v="0"/>
    <n v="0"/>
    <n v="0"/>
    <n v="0"/>
    <n v="0"/>
    <n v="0"/>
    <n v="0"/>
    <n v="0"/>
    <n v="0"/>
    <n v="0"/>
    <n v="0"/>
    <n v="0"/>
    <x v="1"/>
  </r>
  <r>
    <x v="1"/>
    <x v="79"/>
    <s v="Health facilities (service delivery points)"/>
    <n v="0"/>
    <n v="0"/>
    <n v="0"/>
    <n v="0"/>
    <n v="0"/>
    <n v="0"/>
    <n v="0"/>
    <n v="0"/>
    <n v="0"/>
    <n v="0"/>
    <n v="0"/>
    <n v="0"/>
    <n v="0"/>
    <n v="0"/>
    <n v="0"/>
    <n v="0"/>
    <n v="0"/>
    <n v="0"/>
    <n v="0"/>
    <n v="0"/>
    <n v="0"/>
    <n v="0"/>
    <x v="1"/>
  </r>
  <r>
    <x v="1"/>
    <x v="79"/>
    <s v="Health facilities (service delivery points)"/>
    <n v="0"/>
    <n v="0"/>
    <n v="0"/>
    <n v="0"/>
    <n v="0"/>
    <n v="0"/>
    <n v="0"/>
    <n v="0"/>
    <n v="0"/>
    <n v="0"/>
    <n v="0"/>
    <n v="0"/>
    <n v="0"/>
    <n v="0"/>
    <n v="0"/>
    <n v="0"/>
    <n v="0"/>
    <n v="0"/>
    <n v="0"/>
    <n v="0"/>
    <n v="0"/>
    <n v="0"/>
    <x v="1"/>
  </r>
  <r>
    <x v="1"/>
    <x v="79"/>
    <s v="Health facilities (service delivery points)"/>
    <n v="0"/>
    <n v="0"/>
    <n v="0"/>
    <n v="0"/>
    <n v="0"/>
    <n v="0"/>
    <n v="0"/>
    <n v="0"/>
    <n v="0"/>
    <n v="0"/>
    <n v="0"/>
    <n v="0"/>
    <n v="0"/>
    <n v="0"/>
    <n v="0"/>
    <n v="0"/>
    <n v="0"/>
    <n v="0"/>
    <n v="0"/>
    <n v="0"/>
    <n v="0"/>
    <n v="0"/>
    <x v="1"/>
  </r>
  <r>
    <x v="1"/>
    <x v="79"/>
    <s v="Health facilities (service delivery points)"/>
    <n v="0"/>
    <n v="0"/>
    <n v="0"/>
    <n v="0"/>
    <n v="0"/>
    <n v="0"/>
    <n v="0"/>
    <n v="0"/>
    <n v="0"/>
    <n v="0"/>
    <n v="0"/>
    <n v="0"/>
    <n v="0"/>
    <n v="0"/>
    <n v="0"/>
    <n v="0"/>
    <n v="0"/>
    <n v="0"/>
    <n v="0"/>
    <n v="0"/>
    <n v="0"/>
    <n v="0"/>
    <x v="1"/>
  </r>
  <r>
    <x v="1"/>
    <x v="79"/>
    <s v="Health facilities (service delivery points)"/>
    <s v="National-level"/>
    <n v="0"/>
    <n v="0"/>
    <n v="0"/>
    <n v="0"/>
    <n v="0"/>
    <n v="0"/>
    <n v="0"/>
    <n v="0"/>
    <n v="0"/>
    <n v="0"/>
    <n v="0"/>
    <n v="0"/>
    <n v="0"/>
    <n v="0"/>
    <n v="0"/>
    <n v="0"/>
    <n v="0"/>
    <n v="0"/>
    <n v="0"/>
    <n v="0"/>
    <n v="0"/>
    <x v="1"/>
  </r>
  <r>
    <x v="1"/>
    <x v="80"/>
    <s v="Central level"/>
    <s v="Central"/>
    <n v="0"/>
    <n v="0"/>
    <n v="0"/>
    <n v="0"/>
    <n v="0"/>
    <n v="0"/>
    <n v="0"/>
    <n v="0"/>
    <n v="0"/>
    <n v="0"/>
    <n v="0"/>
    <n v="0"/>
    <n v="0"/>
    <n v="0"/>
    <n v="0"/>
    <n v="0"/>
    <n v="0"/>
    <n v="0"/>
    <n v="0"/>
    <n v="0"/>
    <n v="0"/>
    <x v="1"/>
  </r>
  <r>
    <x v="1"/>
    <x v="80"/>
    <s v="Central level"/>
    <s v="Copperbelt"/>
    <n v="0"/>
    <n v="0"/>
    <n v="0"/>
    <n v="0"/>
    <n v="0"/>
    <n v="0"/>
    <n v="0"/>
    <n v="0"/>
    <n v="0"/>
    <n v="0"/>
    <n v="0"/>
    <n v="0"/>
    <n v="0"/>
    <n v="0"/>
    <n v="0"/>
    <n v="0"/>
    <n v="0"/>
    <n v="0"/>
    <n v="0"/>
    <n v="0"/>
    <n v="0"/>
    <x v="1"/>
  </r>
  <r>
    <x v="1"/>
    <x v="80"/>
    <s v="Central level"/>
    <s v="Eastern"/>
    <n v="0"/>
    <n v="0"/>
    <n v="0"/>
    <n v="0"/>
    <n v="0"/>
    <n v="0"/>
    <n v="0"/>
    <n v="0"/>
    <n v="0"/>
    <n v="0"/>
    <n v="0"/>
    <n v="0"/>
    <n v="0"/>
    <n v="0"/>
    <n v="0"/>
    <n v="0"/>
    <n v="0"/>
    <n v="0"/>
    <n v="0"/>
    <n v="0"/>
    <n v="0"/>
    <x v="1"/>
  </r>
  <r>
    <x v="1"/>
    <x v="80"/>
    <s v="Central level"/>
    <s v="Luapula"/>
    <n v="0"/>
    <n v="0"/>
    <n v="0"/>
    <n v="0"/>
    <n v="0"/>
    <n v="0"/>
    <n v="0"/>
    <n v="0"/>
    <n v="0"/>
    <n v="0"/>
    <n v="0"/>
    <n v="0"/>
    <n v="0"/>
    <n v="0"/>
    <n v="0"/>
    <n v="0"/>
    <n v="0"/>
    <n v="0"/>
    <n v="0"/>
    <n v="0"/>
    <n v="0"/>
    <x v="1"/>
  </r>
  <r>
    <x v="1"/>
    <x v="80"/>
    <s v="Central level"/>
    <s v="Lusaka"/>
    <n v="0"/>
    <n v="0"/>
    <n v="0"/>
    <n v="0"/>
    <n v="0"/>
    <n v="0"/>
    <n v="0"/>
    <n v="0"/>
    <n v="0"/>
    <n v="0"/>
    <n v="0"/>
    <n v="0"/>
    <n v="0"/>
    <n v="0"/>
    <n v="0"/>
    <n v="0"/>
    <n v="0"/>
    <n v="0"/>
    <n v="0"/>
    <n v="0"/>
    <n v="0"/>
    <x v="1"/>
  </r>
  <r>
    <x v="1"/>
    <x v="80"/>
    <s v="Central level"/>
    <s v="Muchinga"/>
    <n v="0"/>
    <n v="0"/>
    <n v="0"/>
    <n v="0"/>
    <n v="0"/>
    <n v="0"/>
    <n v="0"/>
    <n v="0"/>
    <n v="0"/>
    <n v="0"/>
    <n v="0"/>
    <n v="0"/>
    <n v="0"/>
    <n v="0"/>
    <n v="0"/>
    <n v="0"/>
    <n v="0"/>
    <n v="0"/>
    <n v="0"/>
    <n v="0"/>
    <n v="0"/>
    <x v="1"/>
  </r>
  <r>
    <x v="1"/>
    <x v="80"/>
    <s v="Central level"/>
    <s v="Northern"/>
    <n v="0"/>
    <n v="0"/>
    <n v="0"/>
    <n v="0"/>
    <n v="0"/>
    <n v="0"/>
    <n v="0"/>
    <n v="0"/>
    <n v="0"/>
    <n v="0"/>
    <n v="0"/>
    <n v="0"/>
    <n v="0"/>
    <n v="0"/>
    <n v="0"/>
    <n v="0"/>
    <n v="0"/>
    <n v="0"/>
    <n v="0"/>
    <n v="0"/>
    <n v="0"/>
    <x v="1"/>
  </r>
  <r>
    <x v="1"/>
    <x v="80"/>
    <s v="Central level"/>
    <s v="North Western"/>
    <n v="0"/>
    <n v="0"/>
    <n v="0"/>
    <n v="0"/>
    <n v="0"/>
    <n v="0"/>
    <n v="0"/>
    <n v="0"/>
    <n v="0"/>
    <n v="0"/>
    <n v="0"/>
    <n v="0"/>
    <n v="0"/>
    <n v="0"/>
    <n v="0"/>
    <n v="0"/>
    <n v="0"/>
    <n v="0"/>
    <n v="0"/>
    <n v="0"/>
    <n v="0"/>
    <x v="1"/>
  </r>
  <r>
    <x v="1"/>
    <x v="80"/>
    <s v="Central level"/>
    <s v="Southern"/>
    <n v="0"/>
    <n v="0"/>
    <n v="0"/>
    <n v="0"/>
    <n v="0"/>
    <n v="0"/>
    <n v="0"/>
    <n v="0"/>
    <n v="0"/>
    <n v="0"/>
    <n v="0"/>
    <n v="0"/>
    <n v="0"/>
    <n v="0"/>
    <n v="0"/>
    <n v="0"/>
    <n v="0"/>
    <n v="0"/>
    <n v="0"/>
    <n v="0"/>
    <n v="0"/>
    <x v="1"/>
  </r>
  <r>
    <x v="1"/>
    <x v="80"/>
    <s v="Central level"/>
    <s v="Western"/>
    <n v="0"/>
    <n v="0"/>
    <n v="0"/>
    <n v="0"/>
    <n v="0"/>
    <n v="0"/>
    <n v="0"/>
    <n v="0"/>
    <n v="0"/>
    <n v="0"/>
    <n v="0"/>
    <n v="0"/>
    <n v="0"/>
    <n v="0"/>
    <n v="0"/>
    <n v="0"/>
    <n v="0"/>
    <n v="0"/>
    <n v="0"/>
    <n v="0"/>
    <n v="0"/>
    <x v="1"/>
  </r>
  <r>
    <x v="1"/>
    <x v="80"/>
    <s v="Central level"/>
    <n v="0"/>
    <n v="0"/>
    <n v="0"/>
    <n v="0"/>
    <n v="0"/>
    <n v="0"/>
    <n v="0"/>
    <n v="0"/>
    <n v="0"/>
    <n v="0"/>
    <n v="0"/>
    <n v="0"/>
    <n v="0"/>
    <n v="0"/>
    <n v="0"/>
    <n v="0"/>
    <n v="0"/>
    <n v="0"/>
    <n v="0"/>
    <n v="0"/>
    <n v="0"/>
    <n v="0"/>
    <x v="1"/>
  </r>
  <r>
    <x v="1"/>
    <x v="80"/>
    <s v="Central level"/>
    <n v="0"/>
    <n v="0"/>
    <n v="0"/>
    <n v="0"/>
    <n v="0"/>
    <n v="0"/>
    <n v="0"/>
    <n v="0"/>
    <n v="0"/>
    <n v="0"/>
    <n v="0"/>
    <n v="0"/>
    <n v="0"/>
    <n v="0"/>
    <n v="0"/>
    <n v="0"/>
    <n v="0"/>
    <n v="0"/>
    <n v="0"/>
    <n v="0"/>
    <n v="0"/>
    <n v="0"/>
    <x v="1"/>
  </r>
  <r>
    <x v="1"/>
    <x v="80"/>
    <s v="Central level"/>
    <n v="0"/>
    <n v="0"/>
    <n v="0"/>
    <n v="0"/>
    <n v="0"/>
    <n v="0"/>
    <n v="0"/>
    <n v="0"/>
    <n v="0"/>
    <n v="0"/>
    <n v="0"/>
    <n v="0"/>
    <n v="0"/>
    <n v="0"/>
    <n v="0"/>
    <n v="0"/>
    <n v="0"/>
    <n v="0"/>
    <n v="0"/>
    <n v="0"/>
    <n v="0"/>
    <n v="0"/>
    <x v="1"/>
  </r>
  <r>
    <x v="1"/>
    <x v="80"/>
    <s v="Central level"/>
    <n v="0"/>
    <n v="0"/>
    <n v="0"/>
    <n v="0"/>
    <n v="0"/>
    <n v="0"/>
    <n v="0"/>
    <n v="0"/>
    <n v="0"/>
    <n v="0"/>
    <n v="0"/>
    <n v="0"/>
    <n v="0"/>
    <n v="0"/>
    <n v="0"/>
    <n v="0"/>
    <n v="0"/>
    <n v="0"/>
    <n v="0"/>
    <n v="0"/>
    <n v="0"/>
    <n v="0"/>
    <x v="1"/>
  </r>
  <r>
    <x v="1"/>
    <x v="80"/>
    <s v="Central level"/>
    <n v="0"/>
    <n v="0"/>
    <n v="0"/>
    <n v="0"/>
    <n v="0"/>
    <n v="0"/>
    <n v="0"/>
    <n v="0"/>
    <n v="0"/>
    <n v="0"/>
    <n v="0"/>
    <n v="0"/>
    <n v="0"/>
    <n v="0"/>
    <n v="0"/>
    <n v="0"/>
    <n v="0"/>
    <n v="0"/>
    <n v="0"/>
    <n v="0"/>
    <n v="0"/>
    <n v="0"/>
    <x v="1"/>
  </r>
  <r>
    <x v="1"/>
    <x v="80"/>
    <s v="Central level"/>
    <s v="National-level"/>
    <n v="0"/>
    <n v="0"/>
    <n v="110664.95999999999"/>
    <n v="110664.95999999999"/>
    <n v="0"/>
    <n v="0"/>
    <n v="0"/>
    <n v="0"/>
    <n v="0"/>
    <n v="0"/>
    <n v="221329.91999999998"/>
    <n v="0"/>
    <n v="0"/>
    <n v="110664.95999999999"/>
    <n v="110664.95999999999"/>
    <n v="0"/>
    <n v="0"/>
    <n v="0"/>
    <n v="0"/>
    <n v="0"/>
    <n v="0"/>
    <x v="1"/>
  </r>
  <r>
    <x v="0"/>
    <x v="81"/>
    <s v="Evenly by province/region"/>
    <s v="Central"/>
    <n v="0"/>
    <n v="10926.288"/>
    <n v="10926.288"/>
    <n v="10926.288"/>
    <n v="0"/>
    <n v="0"/>
    <n v="0"/>
    <n v="0"/>
    <n v="0"/>
    <n v="0"/>
    <n v="32778.864000000001"/>
    <n v="0"/>
    <n v="10926.288"/>
    <n v="10926.288"/>
    <n v="10926.288"/>
    <n v="0"/>
    <n v="0"/>
    <n v="0"/>
    <n v="0"/>
    <n v="0"/>
    <n v="0"/>
    <x v="1"/>
  </r>
  <r>
    <x v="0"/>
    <x v="81"/>
    <s v="Evenly by province/region"/>
    <s v="Copperbelt"/>
    <n v="0"/>
    <n v="10926.288"/>
    <n v="10926.288"/>
    <n v="10926.288"/>
    <n v="0"/>
    <n v="0"/>
    <n v="0"/>
    <n v="0"/>
    <n v="0"/>
    <n v="0"/>
    <n v="32778.864000000001"/>
    <n v="0"/>
    <n v="10926.288"/>
    <n v="10926.288"/>
    <n v="10926.288"/>
    <n v="0"/>
    <n v="0"/>
    <n v="0"/>
    <n v="0"/>
    <n v="0"/>
    <n v="0"/>
    <x v="1"/>
  </r>
  <r>
    <x v="0"/>
    <x v="81"/>
    <s v="Evenly by province/region"/>
    <s v="Eastern"/>
    <n v="0"/>
    <n v="10926.288"/>
    <n v="10926.288"/>
    <n v="10926.288"/>
    <n v="0"/>
    <n v="0"/>
    <n v="0"/>
    <n v="0"/>
    <n v="0"/>
    <n v="0"/>
    <n v="32778.864000000001"/>
    <n v="0"/>
    <n v="10926.288"/>
    <n v="10926.288"/>
    <n v="10926.288"/>
    <n v="0"/>
    <n v="0"/>
    <n v="0"/>
    <n v="0"/>
    <n v="0"/>
    <n v="0"/>
    <x v="1"/>
  </r>
  <r>
    <x v="0"/>
    <x v="81"/>
    <s v="Evenly by province/region"/>
    <s v="Luapula"/>
    <n v="0"/>
    <n v="10926.288"/>
    <n v="10926.288"/>
    <n v="10926.288"/>
    <n v="0"/>
    <n v="0"/>
    <n v="0"/>
    <n v="0"/>
    <n v="0"/>
    <n v="0"/>
    <n v="32778.864000000001"/>
    <n v="0"/>
    <n v="10926.288"/>
    <n v="10926.288"/>
    <n v="10926.288"/>
    <n v="0"/>
    <n v="0"/>
    <n v="0"/>
    <n v="0"/>
    <n v="0"/>
    <n v="0"/>
    <x v="1"/>
  </r>
  <r>
    <x v="0"/>
    <x v="81"/>
    <s v="Evenly by province/region"/>
    <s v="Lusaka"/>
    <n v="0"/>
    <n v="10926.288"/>
    <n v="10926.288"/>
    <n v="10926.288"/>
    <n v="0"/>
    <n v="0"/>
    <n v="0"/>
    <n v="0"/>
    <n v="0"/>
    <n v="0"/>
    <n v="32778.864000000001"/>
    <n v="0"/>
    <n v="10926.288"/>
    <n v="10926.288"/>
    <n v="10926.288"/>
    <n v="0"/>
    <n v="0"/>
    <n v="0"/>
    <n v="0"/>
    <n v="0"/>
    <n v="0"/>
    <x v="1"/>
  </r>
  <r>
    <x v="0"/>
    <x v="81"/>
    <s v="Evenly by province/region"/>
    <s v="Muchinga"/>
    <n v="0"/>
    <n v="10926.288"/>
    <n v="10926.288"/>
    <n v="10926.288"/>
    <n v="0"/>
    <n v="0"/>
    <n v="0"/>
    <n v="0"/>
    <n v="0"/>
    <n v="0"/>
    <n v="32778.864000000001"/>
    <n v="0"/>
    <n v="10926.288"/>
    <n v="10926.288"/>
    <n v="10926.288"/>
    <n v="0"/>
    <n v="0"/>
    <n v="0"/>
    <n v="0"/>
    <n v="0"/>
    <n v="0"/>
    <x v="1"/>
  </r>
  <r>
    <x v="0"/>
    <x v="81"/>
    <s v="Evenly by province/region"/>
    <s v="Northern"/>
    <n v="0"/>
    <n v="10926.288"/>
    <n v="10926.288"/>
    <n v="10926.288"/>
    <n v="0"/>
    <n v="0"/>
    <n v="0"/>
    <n v="0"/>
    <n v="0"/>
    <n v="0"/>
    <n v="32778.864000000001"/>
    <n v="0"/>
    <n v="10926.288"/>
    <n v="10926.288"/>
    <n v="10926.288"/>
    <n v="0"/>
    <n v="0"/>
    <n v="0"/>
    <n v="0"/>
    <n v="0"/>
    <n v="0"/>
    <x v="1"/>
  </r>
  <r>
    <x v="0"/>
    <x v="81"/>
    <s v="Evenly by province/region"/>
    <s v="North Western"/>
    <n v="0"/>
    <n v="10926.288"/>
    <n v="10926.288"/>
    <n v="10926.288"/>
    <n v="0"/>
    <n v="0"/>
    <n v="0"/>
    <n v="0"/>
    <n v="0"/>
    <n v="0"/>
    <n v="32778.864000000001"/>
    <n v="0"/>
    <n v="10926.288"/>
    <n v="10926.288"/>
    <n v="10926.288"/>
    <n v="0"/>
    <n v="0"/>
    <n v="0"/>
    <n v="0"/>
    <n v="0"/>
    <n v="0"/>
    <x v="1"/>
  </r>
  <r>
    <x v="0"/>
    <x v="81"/>
    <s v="Evenly by province/region"/>
    <s v="Southern"/>
    <n v="0"/>
    <n v="10926.288"/>
    <n v="10926.288"/>
    <n v="10926.288"/>
    <n v="0"/>
    <n v="0"/>
    <n v="0"/>
    <n v="0"/>
    <n v="0"/>
    <n v="0"/>
    <n v="32778.864000000001"/>
    <n v="0"/>
    <n v="10926.288"/>
    <n v="10926.288"/>
    <n v="10926.288"/>
    <n v="0"/>
    <n v="0"/>
    <n v="0"/>
    <n v="0"/>
    <n v="0"/>
    <n v="0"/>
    <x v="1"/>
  </r>
  <r>
    <x v="0"/>
    <x v="81"/>
    <s v="Evenly by province/region"/>
    <s v="Western"/>
    <n v="0"/>
    <n v="10926.288"/>
    <n v="10926.288"/>
    <n v="10926.288"/>
    <n v="0"/>
    <n v="0"/>
    <n v="0"/>
    <n v="0"/>
    <n v="0"/>
    <n v="0"/>
    <n v="32778.864000000001"/>
    <n v="0"/>
    <n v="10926.288"/>
    <n v="10926.288"/>
    <n v="10926.288"/>
    <n v="0"/>
    <n v="0"/>
    <n v="0"/>
    <n v="0"/>
    <n v="0"/>
    <n v="0"/>
    <x v="1"/>
  </r>
  <r>
    <x v="0"/>
    <x v="81"/>
    <s v="Evenly by province/region"/>
    <n v="0"/>
    <n v="0"/>
    <n v="0"/>
    <n v="0"/>
    <n v="0"/>
    <n v="0"/>
    <n v="0"/>
    <n v="0"/>
    <n v="0"/>
    <n v="0"/>
    <n v="0"/>
    <n v="0"/>
    <n v="0"/>
    <n v="0"/>
    <n v="0"/>
    <n v="0"/>
    <n v="0"/>
    <n v="0"/>
    <n v="0"/>
    <n v="0"/>
    <n v="0"/>
    <n v="0"/>
    <x v="1"/>
  </r>
  <r>
    <x v="0"/>
    <x v="81"/>
    <s v="Evenly by province/region"/>
    <n v="0"/>
    <n v="0"/>
    <n v="0"/>
    <n v="0"/>
    <n v="0"/>
    <n v="0"/>
    <n v="0"/>
    <n v="0"/>
    <n v="0"/>
    <n v="0"/>
    <n v="0"/>
    <n v="0"/>
    <n v="0"/>
    <n v="0"/>
    <n v="0"/>
    <n v="0"/>
    <n v="0"/>
    <n v="0"/>
    <n v="0"/>
    <n v="0"/>
    <n v="0"/>
    <n v="0"/>
    <x v="1"/>
  </r>
  <r>
    <x v="0"/>
    <x v="81"/>
    <s v="Evenly by province/region"/>
    <n v="0"/>
    <n v="0"/>
    <n v="0"/>
    <n v="0"/>
    <n v="0"/>
    <n v="0"/>
    <n v="0"/>
    <n v="0"/>
    <n v="0"/>
    <n v="0"/>
    <n v="0"/>
    <n v="0"/>
    <n v="0"/>
    <n v="0"/>
    <n v="0"/>
    <n v="0"/>
    <n v="0"/>
    <n v="0"/>
    <n v="0"/>
    <n v="0"/>
    <n v="0"/>
    <n v="0"/>
    <x v="1"/>
  </r>
  <r>
    <x v="0"/>
    <x v="81"/>
    <s v="Evenly by province/region"/>
    <n v="0"/>
    <n v="0"/>
    <n v="0"/>
    <n v="0"/>
    <n v="0"/>
    <n v="0"/>
    <n v="0"/>
    <n v="0"/>
    <n v="0"/>
    <n v="0"/>
    <n v="0"/>
    <n v="0"/>
    <n v="0"/>
    <n v="0"/>
    <n v="0"/>
    <n v="0"/>
    <n v="0"/>
    <n v="0"/>
    <n v="0"/>
    <n v="0"/>
    <n v="0"/>
    <n v="0"/>
    <x v="1"/>
  </r>
  <r>
    <x v="0"/>
    <x v="81"/>
    <s v="Evenly by province/region"/>
    <n v="0"/>
    <n v="0"/>
    <n v="0"/>
    <n v="0"/>
    <n v="0"/>
    <n v="0"/>
    <n v="0"/>
    <n v="0"/>
    <n v="0"/>
    <n v="0"/>
    <n v="0"/>
    <n v="0"/>
    <n v="0"/>
    <n v="0"/>
    <n v="0"/>
    <n v="0"/>
    <n v="0"/>
    <n v="0"/>
    <n v="0"/>
    <n v="0"/>
    <n v="0"/>
    <n v="0"/>
    <x v="1"/>
  </r>
  <r>
    <x v="0"/>
    <x v="81"/>
    <s v="Evenly by province/region"/>
    <s v="National-level"/>
    <n v="0"/>
    <n v="0"/>
    <n v="0"/>
    <n v="0"/>
    <n v="0"/>
    <n v="0"/>
    <n v="0"/>
    <n v="0"/>
    <n v="0"/>
    <n v="0"/>
    <n v="0"/>
    <n v="0"/>
    <n v="0"/>
    <n v="0"/>
    <n v="0"/>
    <n v="0"/>
    <n v="0"/>
    <n v="0"/>
    <n v="0"/>
    <n v="0"/>
    <n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4:F12" firstHeaderRow="1" firstDataRow="1" firstDataCol="1"/>
  <pivotFields count="26">
    <pivotField axis="axisRow" showAll="0">
      <items count="8">
        <item x="0"/>
        <item x="1"/>
        <item x="4"/>
        <item x="5"/>
        <item x="6"/>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Items count="1">
    <i/>
  </colItems>
  <dataFields count="1">
    <dataField name="Sum of Total cost" fld="14"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B97:M105" firstHeaderRow="0" firstDataRow="1" firstDataCol="1"/>
  <pivotFields count="26">
    <pivotField axis="axisRow" showAll="0">
      <items count="8">
        <item x="0"/>
        <item x="1"/>
        <item x="4"/>
        <item x="5"/>
        <item x="6"/>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Fields count="1">
    <field x="0"/>
  </rowFields>
  <rowItems count="8">
    <i>
      <x/>
    </i>
    <i>
      <x v="1"/>
    </i>
    <i>
      <x v="2"/>
    </i>
    <i>
      <x v="3"/>
    </i>
    <i>
      <x v="4"/>
    </i>
    <i>
      <x v="5"/>
    </i>
    <i>
      <x v="6"/>
    </i>
    <i t="grand">
      <x/>
    </i>
  </rowItems>
  <colFields count="1">
    <field x="-2"/>
  </colFields>
  <colItems count="11">
    <i>
      <x/>
    </i>
    <i i="1">
      <x v="1"/>
    </i>
    <i i="2">
      <x v="2"/>
    </i>
    <i i="3">
      <x v="3"/>
    </i>
    <i i="4">
      <x v="4"/>
    </i>
    <i i="5">
      <x v="5"/>
    </i>
    <i i="6">
      <x v="6"/>
    </i>
    <i i="7">
      <x v="7"/>
    </i>
    <i i="8">
      <x v="8"/>
    </i>
    <i i="9">
      <x v="9"/>
    </i>
    <i i="10">
      <x v="10"/>
    </i>
  </colItems>
  <dataFields count="11">
    <dataField name="Sum of 2013 sum" fld="15" baseField="0" baseItem="0"/>
    <dataField name="Sum of 2014 sum" fld="16" baseField="0" baseItem="0"/>
    <dataField name="Sum of 2015 sum" fld="17" baseField="0" baseItem="0"/>
    <dataField name="Sum of 2016 sum" fld="18" baseField="0" baseItem="0"/>
    <dataField name="Sum of 2017 sum" fld="19" baseField="0" baseItem="0"/>
    <dataField name="Sum of 2018 sum" fld="20" baseField="0" baseItem="0"/>
    <dataField name="Sum of 2019 sum" fld="21" baseField="0" baseItem="0"/>
    <dataField name="Sum of 2020 sum" fld="22" baseField="0" baseItem="0"/>
    <dataField name="Sum of 2021 sum" fld="23" baseField="0" baseItem="0"/>
    <dataField name="Sum of 2022 sum" fld="24" baseField="0" baseItem="0"/>
    <dataField name="Sum of Total cost" fld="14"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B4:C94" firstHeaderRow="1" firstDataRow="1" firstDataCol="1"/>
  <pivotFields count="26">
    <pivotField axis="axisRow" showAll="0">
      <items count="8">
        <item x="0"/>
        <item x="1"/>
        <item x="4"/>
        <item x="5"/>
        <item x="6"/>
        <item x="2"/>
        <item x="3"/>
        <item t="default"/>
      </items>
    </pivotField>
    <pivotField axis="axisRow" showAll="0">
      <items count="98">
        <item x="3"/>
        <item x="52"/>
        <item x="69"/>
        <item x="28"/>
        <item x="29"/>
        <item x="27"/>
        <item x="0"/>
        <item x="35"/>
        <item x="34"/>
        <item x="55"/>
        <item x="71"/>
        <item x="39"/>
        <item x="40"/>
        <item x="74"/>
        <item x="77"/>
        <item m="1" x="92"/>
        <item m="1" x="85"/>
        <item x="53"/>
        <item x="54"/>
        <item m="1" x="89"/>
        <item m="1" x="90"/>
        <item x="50"/>
        <item x="43"/>
        <item x="44"/>
        <item m="1" x="94"/>
        <item m="1" x="83"/>
        <item x="73"/>
        <item x="51"/>
        <item m="1" x="96"/>
        <item m="1" x="88"/>
        <item x="38"/>
        <item x="33"/>
        <item x="68"/>
        <item x="6"/>
        <item x="20"/>
        <item x="21"/>
        <item x="19"/>
        <item x="31"/>
        <item m="1" x="91"/>
        <item x="32"/>
        <item x="47"/>
        <item x="42"/>
        <item x="24"/>
        <item m="1" x="93"/>
        <item x="63"/>
        <item x="75"/>
        <item x="26"/>
        <item x="56"/>
        <item x="62"/>
        <item x="61"/>
        <item x="46"/>
        <item x="16"/>
        <item x="17"/>
        <item x="4"/>
        <item x="70"/>
        <item x="37"/>
        <item x="76"/>
        <item x="36"/>
        <item x="1"/>
        <item x="2"/>
        <item x="45"/>
        <item x="78"/>
        <item x="9"/>
        <item x="41"/>
        <item x="58"/>
        <item x="59"/>
        <item x="60"/>
        <item x="5"/>
        <item x="67"/>
        <item x="22"/>
        <item m="1" x="82"/>
        <item x="10"/>
        <item x="57"/>
        <item x="64"/>
        <item x="65"/>
        <item x="72"/>
        <item m="1" x="95"/>
        <item x="8"/>
        <item x="11"/>
        <item x="12"/>
        <item x="13"/>
        <item m="1" x="84"/>
        <item x="7"/>
        <item m="1" x="87"/>
        <item x="81"/>
        <item x="14"/>
        <item x="15"/>
        <item x="48"/>
        <item x="49"/>
        <item x="66"/>
        <item m="1" x="86"/>
        <item x="23"/>
        <item x="25"/>
        <item x="30"/>
        <item x="79"/>
        <item x="80"/>
        <item x="1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90">
    <i>
      <x/>
    </i>
    <i r="1">
      <x/>
    </i>
    <i r="1">
      <x v="6"/>
    </i>
    <i r="1">
      <x v="33"/>
    </i>
    <i r="1">
      <x v="53"/>
    </i>
    <i r="1">
      <x v="58"/>
    </i>
    <i r="1">
      <x v="59"/>
    </i>
    <i r="1">
      <x v="62"/>
    </i>
    <i r="1">
      <x v="67"/>
    </i>
    <i r="1">
      <x v="71"/>
    </i>
    <i r="1">
      <x v="77"/>
    </i>
    <i r="1">
      <x v="78"/>
    </i>
    <i r="1">
      <x v="79"/>
    </i>
    <i r="1">
      <x v="80"/>
    </i>
    <i r="1">
      <x v="82"/>
    </i>
    <i r="1">
      <x v="84"/>
    </i>
    <i r="1">
      <x v="85"/>
    </i>
    <i r="1">
      <x v="86"/>
    </i>
    <i>
      <x v="1"/>
    </i>
    <i r="1">
      <x v="3"/>
    </i>
    <i r="1">
      <x v="4"/>
    </i>
    <i r="1">
      <x v="5"/>
    </i>
    <i r="1">
      <x v="13"/>
    </i>
    <i r="1">
      <x v="14"/>
    </i>
    <i r="1">
      <x v="31"/>
    </i>
    <i r="1">
      <x v="34"/>
    </i>
    <i r="1">
      <x v="35"/>
    </i>
    <i r="1">
      <x v="36"/>
    </i>
    <i r="1">
      <x v="37"/>
    </i>
    <i r="1">
      <x v="39"/>
    </i>
    <i r="1">
      <x v="42"/>
    </i>
    <i r="1">
      <x v="45"/>
    </i>
    <i r="1">
      <x v="46"/>
    </i>
    <i r="1">
      <x v="51"/>
    </i>
    <i r="1">
      <x v="52"/>
    </i>
    <i r="1">
      <x v="56"/>
    </i>
    <i r="1">
      <x v="61"/>
    </i>
    <i r="1">
      <x v="91"/>
    </i>
    <i r="1">
      <x v="92"/>
    </i>
    <i r="1">
      <x v="93"/>
    </i>
    <i r="1">
      <x v="94"/>
    </i>
    <i r="1">
      <x v="95"/>
    </i>
    <i r="1">
      <x v="96"/>
    </i>
    <i>
      <x v="2"/>
    </i>
    <i r="1">
      <x v="11"/>
    </i>
    <i r="1">
      <x v="12"/>
    </i>
    <i r="1">
      <x v="22"/>
    </i>
    <i r="1">
      <x v="23"/>
    </i>
    <i r="1">
      <x v="30"/>
    </i>
    <i r="1">
      <x v="41"/>
    </i>
    <i r="1">
      <x v="55"/>
    </i>
    <i r="1">
      <x v="57"/>
    </i>
    <i r="1">
      <x v="63"/>
    </i>
    <i>
      <x v="3"/>
    </i>
    <i r="1">
      <x v="21"/>
    </i>
    <i r="1">
      <x v="40"/>
    </i>
    <i r="1">
      <x v="50"/>
    </i>
    <i r="1">
      <x v="60"/>
    </i>
    <i r="1">
      <x v="87"/>
    </i>
    <i r="1">
      <x v="88"/>
    </i>
    <i>
      <x v="4"/>
    </i>
    <i r="1">
      <x v="1"/>
    </i>
    <i r="1">
      <x v="17"/>
    </i>
    <i r="1">
      <x v="18"/>
    </i>
    <i r="1">
      <x v="27"/>
    </i>
    <i>
      <x v="5"/>
    </i>
    <i r="1">
      <x v="2"/>
    </i>
    <i r="1">
      <x v="9"/>
    </i>
    <i r="1">
      <x v="10"/>
    </i>
    <i r="1">
      <x v="26"/>
    </i>
    <i r="1">
      <x v="32"/>
    </i>
    <i r="1">
      <x v="44"/>
    </i>
    <i r="1">
      <x v="47"/>
    </i>
    <i r="1">
      <x v="48"/>
    </i>
    <i r="1">
      <x v="49"/>
    </i>
    <i r="1">
      <x v="54"/>
    </i>
    <i r="1">
      <x v="64"/>
    </i>
    <i r="1">
      <x v="65"/>
    </i>
    <i r="1">
      <x v="66"/>
    </i>
    <i r="1">
      <x v="68"/>
    </i>
    <i r="1">
      <x v="69"/>
    </i>
    <i r="1">
      <x v="72"/>
    </i>
    <i r="1">
      <x v="73"/>
    </i>
    <i r="1">
      <x v="74"/>
    </i>
    <i r="1">
      <x v="75"/>
    </i>
    <i r="1">
      <x v="89"/>
    </i>
    <i>
      <x v="6"/>
    </i>
    <i r="1">
      <x v="7"/>
    </i>
    <i r="1">
      <x v="8"/>
    </i>
    <i t="grand">
      <x/>
    </i>
  </rowItems>
  <colItems count="1">
    <i/>
  </colItems>
  <dataFields count="1">
    <dataField name="Sum of Total cost" fld="14" baseField="0" baseItem="0" numFmtId="3"/>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7:F25"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8">
        <item x="0"/>
        <item x="2"/>
        <item x="3"/>
        <item x="4"/>
        <item x="5"/>
        <item x="6"/>
        <item x="1"/>
        <item t="default"/>
      </items>
    </pivotField>
  </pivotFields>
  <rowFields count="1">
    <field x="25"/>
  </rowFields>
  <rowItems count="8">
    <i>
      <x/>
    </i>
    <i>
      <x v="1"/>
    </i>
    <i>
      <x v="2"/>
    </i>
    <i>
      <x v="3"/>
    </i>
    <i>
      <x v="4"/>
    </i>
    <i>
      <x v="5"/>
    </i>
    <i>
      <x v="6"/>
    </i>
    <i t="grand">
      <x/>
    </i>
  </rowItems>
  <colItems count="1">
    <i/>
  </colItems>
  <dataFields count="1">
    <dataField name="Sum of Total cost" fld="14" baseField="0" baseItem="0" numFmtId="3"/>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5"/>
  <sheetViews>
    <sheetView tabSelected="1" zoomScale="110" zoomScaleNormal="110" workbookViewId="0">
      <selection activeCell="N14" sqref="N14"/>
    </sheetView>
  </sheetViews>
  <sheetFormatPr defaultRowHeight="15" x14ac:dyDescent="0.25"/>
  <sheetData>
    <row r="15" spans="5:5" x14ac:dyDescent="0.25">
      <c r="E15" t="s">
        <v>867</v>
      </c>
    </row>
  </sheetData>
  <sheetProtection password="F24F"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H520"/>
  <sheetViews>
    <sheetView workbookViewId="0">
      <pane xSplit="3" ySplit="5" topLeftCell="D6" activePane="bottomRight" state="frozen"/>
      <selection pane="topRight" activeCell="C1" sqref="C1"/>
      <selection pane="bottomLeft" activeCell="A6" sqref="A6"/>
      <selection pane="bottomRight" activeCell="H7" sqref="H7"/>
    </sheetView>
  </sheetViews>
  <sheetFormatPr defaultRowHeight="15" x14ac:dyDescent="0.25"/>
  <cols>
    <col min="1" max="1" width="0.5703125" customWidth="1"/>
    <col min="2" max="2" width="5.5703125" customWidth="1"/>
    <col min="3" max="3" width="15.7109375" customWidth="1"/>
    <col min="4" max="4" width="20.140625" style="26" customWidth="1"/>
    <col min="5" max="5" width="15.140625" style="26" bestFit="1" customWidth="1"/>
    <col min="6" max="7" width="16.85546875" style="26" bestFit="1" customWidth="1"/>
    <col min="8" max="8" width="17.85546875" style="26" customWidth="1"/>
    <col min="9" max="9" width="12.28515625" style="26" customWidth="1"/>
    <col min="10" max="11" width="11.140625" customWidth="1"/>
    <col min="12" max="12" width="2.7109375" customWidth="1"/>
    <col min="13" max="13" width="14.5703125" bestFit="1" customWidth="1"/>
    <col min="17" max="17" width="13.5703125" bestFit="1" customWidth="1"/>
    <col min="18" max="18" width="2.42578125" customWidth="1"/>
    <col min="19" max="19" width="17.85546875" style="26" customWidth="1"/>
    <col min="20" max="20" width="3.140625" customWidth="1"/>
    <col min="21" max="21" width="10.85546875" customWidth="1"/>
    <col min="22" max="22" width="3" customWidth="1"/>
    <col min="23" max="38" width="0" style="54" hidden="1" customWidth="1"/>
    <col min="39" max="39" width="3" customWidth="1"/>
    <col min="40" max="40" width="21.7109375" customWidth="1"/>
    <col min="41" max="41" width="3.85546875" customWidth="1"/>
    <col min="42" max="51" width="9.140625" hidden="1" customWidth="1"/>
    <col min="52" max="52" width="2.7109375" customWidth="1"/>
    <col min="53" max="53" width="16.28515625" style="26" bestFit="1" customWidth="1"/>
    <col min="56" max="56" width="15.85546875" customWidth="1"/>
    <col min="57" max="57" width="15.5703125" customWidth="1"/>
    <col min="60" max="60" width="11.42578125" bestFit="1" customWidth="1"/>
    <col min="16334" max="16334" width="10.7109375" customWidth="1"/>
  </cols>
  <sheetData>
    <row r="1" spans="2:53" ht="3" customHeight="1" thickBot="1" x14ac:dyDescent="0.3">
      <c r="J1" s="76"/>
      <c r="K1" s="76"/>
    </row>
    <row r="2" spans="2:53" ht="15.75" thickBot="1" x14ac:dyDescent="0.3">
      <c r="B2" s="18" t="s">
        <v>320</v>
      </c>
      <c r="C2" s="18" t="s">
        <v>267</v>
      </c>
      <c r="D2" s="132" t="s">
        <v>0</v>
      </c>
      <c r="E2" s="130"/>
      <c r="F2" s="130"/>
      <c r="G2" s="130"/>
      <c r="H2" s="130"/>
      <c r="I2" s="130"/>
      <c r="J2" s="130"/>
      <c r="K2" s="130"/>
      <c r="L2" s="131"/>
      <c r="M2" s="132" t="s">
        <v>185</v>
      </c>
      <c r="N2" s="130"/>
      <c r="O2" s="130"/>
      <c r="P2" s="130"/>
      <c r="Q2" s="131"/>
      <c r="R2" s="19"/>
      <c r="S2" s="133" t="s">
        <v>173</v>
      </c>
      <c r="T2" s="134"/>
      <c r="U2" s="135" t="s">
        <v>174</v>
      </c>
      <c r="V2" s="136"/>
      <c r="W2" s="130" t="s">
        <v>462</v>
      </c>
      <c r="X2" s="130"/>
      <c r="Y2" s="130"/>
      <c r="Z2" s="130"/>
      <c r="AA2" s="130"/>
      <c r="AB2" s="130"/>
      <c r="AC2" s="130"/>
      <c r="AD2" s="130"/>
      <c r="AE2" s="130"/>
      <c r="AF2" s="130"/>
      <c r="AG2" s="130"/>
      <c r="AH2" s="130"/>
      <c r="AI2" s="130"/>
      <c r="AJ2" s="130"/>
      <c r="AK2" s="130"/>
      <c r="AL2" s="130"/>
      <c r="AM2" s="131"/>
      <c r="AN2" s="132" t="s">
        <v>171</v>
      </c>
      <c r="AO2" s="131"/>
      <c r="AP2" s="132" t="s">
        <v>172</v>
      </c>
      <c r="AQ2" s="130"/>
      <c r="AR2" s="130"/>
      <c r="AS2" s="130"/>
      <c r="AT2" s="130"/>
      <c r="AU2" s="130"/>
      <c r="AV2" s="130"/>
      <c r="AW2" s="130"/>
      <c r="AX2" s="130"/>
      <c r="AY2" s="130"/>
      <c r="AZ2" s="131"/>
      <c r="BA2" s="30" t="s">
        <v>146</v>
      </c>
    </row>
    <row r="3" spans="2:53" x14ac:dyDescent="0.25">
      <c r="J3" s="76"/>
      <c r="K3" s="76"/>
      <c r="W3" s="58" t="str">
        <f>'Regional splits'!C13</f>
        <v>Province/ region 1</v>
      </c>
      <c r="X3" s="58" t="str">
        <f>'Regional splits'!D13</f>
        <v>Province/ region 2</v>
      </c>
      <c r="Y3" s="58" t="str">
        <f>'Regional splits'!E13</f>
        <v>Province/ region 3</v>
      </c>
      <c r="Z3" s="58" t="str">
        <f>'Regional splits'!F13</f>
        <v>Province/ region 4</v>
      </c>
      <c r="AA3" s="58" t="str">
        <f>'Regional splits'!G13</f>
        <v>Province/ region 5</v>
      </c>
      <c r="AB3" s="58" t="str">
        <f>'Regional splits'!H13</f>
        <v>Province/ region 6</v>
      </c>
      <c r="AC3" s="58" t="str">
        <f>'Regional splits'!I13</f>
        <v>Province/ region 7</v>
      </c>
      <c r="AD3" s="58" t="str">
        <f>'Regional splits'!J13</f>
        <v>Province/ region 8</v>
      </c>
      <c r="AE3" s="58" t="str">
        <f>'Regional splits'!K13</f>
        <v>Province/ region 9</v>
      </c>
      <c r="AF3" s="58" t="str">
        <f>'Regional splits'!L13</f>
        <v>Province/ region 10</v>
      </c>
      <c r="AG3" s="58" t="str">
        <f>'Regional splits'!M13</f>
        <v>Province/region 11</v>
      </c>
      <c r="AH3" s="58" t="str">
        <f>'Regional splits'!N13</f>
        <v>Province/region 12</v>
      </c>
      <c r="AI3" s="58" t="str">
        <f>'Regional splits'!O13</f>
        <v>Province/region 13</v>
      </c>
      <c r="AJ3" s="58" t="str">
        <f>'Regional splits'!P13</f>
        <v>Province/region 14</v>
      </c>
      <c r="AK3" s="58" t="str">
        <f>'Regional splits'!Q13</f>
        <v>Province/region 15</v>
      </c>
      <c r="AL3" s="58" t="str">
        <f>'Regional splits'!R13</f>
        <v>Country-level</v>
      </c>
      <c r="AP3" s="2">
        <f>'Costing inputs'!G9</f>
        <v>2013</v>
      </c>
      <c r="AQ3" s="2">
        <f>AP3+1</f>
        <v>2014</v>
      </c>
      <c r="AR3" s="2">
        <f t="shared" ref="AR3:AY3" si="0">AQ3+1</f>
        <v>2015</v>
      </c>
      <c r="AS3" s="2">
        <f t="shared" si="0"/>
        <v>2016</v>
      </c>
      <c r="AT3" s="2">
        <f t="shared" si="0"/>
        <v>2017</v>
      </c>
      <c r="AU3" s="2">
        <f t="shared" si="0"/>
        <v>2018</v>
      </c>
      <c r="AV3" s="2">
        <f t="shared" si="0"/>
        <v>2019</v>
      </c>
      <c r="AW3" s="2">
        <f t="shared" si="0"/>
        <v>2020</v>
      </c>
      <c r="AX3" s="2">
        <f t="shared" si="0"/>
        <v>2021</v>
      </c>
      <c r="AY3" s="2">
        <f t="shared" si="0"/>
        <v>2022</v>
      </c>
    </row>
    <row r="4" spans="2:53" x14ac:dyDescent="0.25">
      <c r="J4" s="76"/>
      <c r="K4" s="76"/>
      <c r="S4"/>
      <c r="W4" s="58" t="str">
        <f>'Regional splits'!C14</f>
        <v>Central</v>
      </c>
      <c r="X4" s="58" t="str">
        <f>'Regional splits'!D14</f>
        <v>Copperbelt</v>
      </c>
      <c r="Y4" s="58" t="str">
        <f>'Regional splits'!E14</f>
        <v>Eastern</v>
      </c>
      <c r="Z4" s="58" t="str">
        <f>'Regional splits'!F14</f>
        <v>Luapula</v>
      </c>
      <c r="AA4" s="58" t="str">
        <f>'Regional splits'!G14</f>
        <v>Lusaka</v>
      </c>
      <c r="AB4" s="58" t="str">
        <f>'Regional splits'!H14</f>
        <v>Muchinga</v>
      </c>
      <c r="AC4" s="58" t="str">
        <f>'Regional splits'!I14</f>
        <v>Northern</v>
      </c>
      <c r="AD4" s="58" t="str">
        <f>'Regional splits'!J14</f>
        <v>North Western</v>
      </c>
      <c r="AE4" s="58" t="str">
        <f>'Regional splits'!K14</f>
        <v>Southern</v>
      </c>
      <c r="AF4" s="58" t="str">
        <f>'Regional splits'!L14</f>
        <v>Western</v>
      </c>
      <c r="AG4" s="58">
        <f>'Regional splits'!M14</f>
        <v>0</v>
      </c>
      <c r="AH4" s="58">
        <f>'Regional splits'!N14</f>
        <v>0</v>
      </c>
      <c r="AI4" s="58">
        <f>'Regional splits'!O14</f>
        <v>0</v>
      </c>
      <c r="AJ4" s="58">
        <f>'Regional splits'!P14</f>
        <v>0</v>
      </c>
      <c r="AK4" s="58">
        <f>'Regional splits'!Q14</f>
        <v>0</v>
      </c>
      <c r="AL4" s="58" t="str">
        <f>'Regional splits'!R14</f>
        <v>National-level</v>
      </c>
      <c r="AO4" s="1" t="s">
        <v>163</v>
      </c>
      <c r="AP4" s="1" t="b">
        <f>AP3&lt;'Costing inputs'!$G$9+'Costing inputs'!$E$9</f>
        <v>1</v>
      </c>
      <c r="AQ4" s="1" t="b">
        <f>AQ3&lt;'Costing inputs'!$G$9+'Costing inputs'!$E$9</f>
        <v>1</v>
      </c>
      <c r="AR4" s="1" t="b">
        <f>AR3&lt;'Costing inputs'!$G$9+'Costing inputs'!$E$9</f>
        <v>1</v>
      </c>
      <c r="AS4" s="1" t="b">
        <f>AS3&lt;'Costing inputs'!$G$9+'Costing inputs'!$E$9</f>
        <v>1</v>
      </c>
      <c r="AT4" s="1" t="b">
        <f>AT3&lt;'Costing inputs'!$G$9+'Costing inputs'!$E$9</f>
        <v>1</v>
      </c>
      <c r="AU4" s="1" t="b">
        <f>AU3&lt;'Costing inputs'!$G$9+'Costing inputs'!$E$9</f>
        <v>1</v>
      </c>
      <c r="AV4" s="1" t="b">
        <f>AV3&lt;'Costing inputs'!$G$9+'Costing inputs'!$E$9</f>
        <v>1</v>
      </c>
      <c r="AW4" s="1" t="b">
        <f>AW3&lt;'Costing inputs'!$G$9+'Costing inputs'!$E$9</f>
        <v>1</v>
      </c>
      <c r="AX4" s="1" t="b">
        <f>AX3&lt;'Costing inputs'!$G$9+'Costing inputs'!$E$9</f>
        <v>0</v>
      </c>
      <c r="AY4" s="1" t="b">
        <f>AY3&lt;'Costing inputs'!$G$9+'Costing inputs'!$E$9</f>
        <v>0</v>
      </c>
    </row>
    <row r="5" spans="2:53" x14ac:dyDescent="0.25">
      <c r="J5" s="76"/>
      <c r="K5" s="76"/>
      <c r="S5"/>
      <c r="W5">
        <v>2</v>
      </c>
      <c r="X5">
        <v>3</v>
      </c>
      <c r="Y5">
        <v>4</v>
      </c>
      <c r="Z5">
        <v>5</v>
      </c>
      <c r="AA5">
        <v>6</v>
      </c>
      <c r="AB5">
        <v>7</v>
      </c>
      <c r="AC5">
        <v>8</v>
      </c>
      <c r="AD5">
        <v>9</v>
      </c>
      <c r="AE5">
        <v>10</v>
      </c>
      <c r="AF5">
        <v>11</v>
      </c>
      <c r="AG5">
        <v>12</v>
      </c>
      <c r="AH5">
        <v>13</v>
      </c>
      <c r="AI5">
        <v>14</v>
      </c>
      <c r="AJ5">
        <v>15</v>
      </c>
      <c r="AK5">
        <v>16</v>
      </c>
      <c r="AL5">
        <v>17</v>
      </c>
    </row>
    <row r="6" spans="2:53" ht="18" thickBot="1" x14ac:dyDescent="0.35">
      <c r="C6" s="11" t="s">
        <v>148</v>
      </c>
      <c r="J6" s="76" t="s">
        <v>519</v>
      </c>
      <c r="K6" s="76" t="s">
        <v>521</v>
      </c>
    </row>
    <row r="7" spans="2:53" ht="16.5" thickTop="1" thickBot="1" x14ac:dyDescent="0.3">
      <c r="J7" s="76"/>
      <c r="K7" s="76"/>
    </row>
    <row r="8" spans="2:53" x14ac:dyDescent="0.25">
      <c r="B8" s="23">
        <v>1</v>
      </c>
      <c r="C8" s="124" t="s">
        <v>21</v>
      </c>
      <c r="D8" s="26" t="s">
        <v>26</v>
      </c>
      <c r="E8" s="20">
        <v>10</v>
      </c>
      <c r="F8" s="33" t="s">
        <v>164</v>
      </c>
      <c r="J8" s="76"/>
      <c r="K8" s="76"/>
    </row>
    <row r="9" spans="2:53" ht="15.75" thickBot="1" x14ac:dyDescent="0.3">
      <c r="B9" s="23">
        <v>1</v>
      </c>
      <c r="C9" s="125"/>
      <c r="D9" s="26" t="s">
        <v>44</v>
      </c>
      <c r="E9" s="20">
        <v>8</v>
      </c>
      <c r="F9" s="33" t="s">
        <v>165</v>
      </c>
      <c r="G9" s="20">
        <v>2013</v>
      </c>
      <c r="H9" s="33" t="s">
        <v>46</v>
      </c>
      <c r="J9" s="76"/>
      <c r="K9" s="76"/>
    </row>
    <row r="10" spans="2:53" x14ac:dyDescent="0.25">
      <c r="F10" s="33"/>
      <c r="H10" s="33"/>
      <c r="J10" s="76"/>
      <c r="K10" s="76"/>
    </row>
    <row r="11" spans="2:53" ht="18" thickBot="1" x14ac:dyDescent="0.35">
      <c r="C11" s="11" t="s">
        <v>245</v>
      </c>
      <c r="J11" s="76"/>
      <c r="K11" s="76"/>
    </row>
    <row r="12" spans="2:53" ht="16.5" thickTop="1" thickBot="1" x14ac:dyDescent="0.3">
      <c r="J12" s="76"/>
      <c r="K12" s="76"/>
    </row>
    <row r="13" spans="2:53" x14ac:dyDescent="0.25">
      <c r="C13" s="124" t="s">
        <v>246</v>
      </c>
      <c r="E13" s="34" t="s">
        <v>47</v>
      </c>
      <c r="F13" s="34" t="s">
        <v>50</v>
      </c>
      <c r="G13" s="34" t="s">
        <v>51</v>
      </c>
      <c r="H13" s="34" t="s">
        <v>52</v>
      </c>
      <c r="J13" s="76"/>
      <c r="K13" s="76"/>
    </row>
    <row r="14" spans="2:53" x14ac:dyDescent="0.25">
      <c r="C14" s="126"/>
      <c r="E14" s="35" t="s">
        <v>48</v>
      </c>
      <c r="F14" s="35" t="s">
        <v>53</v>
      </c>
      <c r="G14" s="35" t="s">
        <v>55</v>
      </c>
      <c r="H14" s="35" t="s">
        <v>56</v>
      </c>
      <c r="J14" s="76"/>
      <c r="K14" s="76"/>
    </row>
    <row r="15" spans="2:53" x14ac:dyDescent="0.25">
      <c r="C15" s="126"/>
      <c r="E15" s="35" t="s">
        <v>49</v>
      </c>
      <c r="F15" s="35" t="s">
        <v>57</v>
      </c>
      <c r="J15" s="76"/>
      <c r="K15" s="76"/>
    </row>
    <row r="16" spans="2:53" x14ac:dyDescent="0.25">
      <c r="C16" s="126"/>
      <c r="E16" s="35"/>
      <c r="F16" s="35" t="s">
        <v>54</v>
      </c>
      <c r="J16" s="76"/>
      <c r="K16" s="76"/>
    </row>
    <row r="17" spans="2:49" x14ac:dyDescent="0.25">
      <c r="C17" s="126"/>
      <c r="D17" s="34" t="s">
        <v>518</v>
      </c>
      <c r="J17" s="76"/>
      <c r="K17" s="76"/>
    </row>
    <row r="18" spans="2:49" x14ac:dyDescent="0.25">
      <c r="B18" s="23">
        <v>1</v>
      </c>
      <c r="C18" s="126"/>
      <c r="D18" s="26" t="s">
        <v>58</v>
      </c>
      <c r="E18" s="32">
        <v>3000</v>
      </c>
      <c r="F18" s="32">
        <v>1500</v>
      </c>
      <c r="G18" s="32">
        <v>800</v>
      </c>
      <c r="H18" s="32">
        <v>350</v>
      </c>
      <c r="J18" s="76" t="s">
        <v>522</v>
      </c>
      <c r="K18" s="76"/>
      <c r="AO18" t="s">
        <v>450</v>
      </c>
    </row>
    <row r="19" spans="2:49" x14ac:dyDescent="0.25">
      <c r="C19" s="126"/>
      <c r="D19" s="26" t="s">
        <v>609</v>
      </c>
      <c r="E19" s="32">
        <v>800</v>
      </c>
      <c r="F19" s="32">
        <v>500</v>
      </c>
      <c r="G19" s="32">
        <v>250</v>
      </c>
      <c r="H19" s="32">
        <v>250</v>
      </c>
      <c r="J19" s="76"/>
      <c r="K19" s="76"/>
      <c r="M19" s="21" t="s">
        <v>47</v>
      </c>
      <c r="N19" s="21" t="s">
        <v>50</v>
      </c>
      <c r="O19" s="21" t="s">
        <v>51</v>
      </c>
      <c r="P19" s="21" t="s">
        <v>52</v>
      </c>
      <c r="AO19">
        <v>1</v>
      </c>
      <c r="AR19" s="21" t="s">
        <v>47</v>
      </c>
      <c r="AS19" s="21" t="s">
        <v>50</v>
      </c>
      <c r="AT19" s="21" t="s">
        <v>51</v>
      </c>
      <c r="AU19" s="21" t="s">
        <v>52</v>
      </c>
    </row>
    <row r="20" spans="2:49" x14ac:dyDescent="0.25">
      <c r="C20" s="126"/>
      <c r="D20" s="26" t="s">
        <v>70</v>
      </c>
      <c r="E20" s="32">
        <v>1750</v>
      </c>
      <c r="J20" s="76" t="s">
        <v>520</v>
      </c>
      <c r="K20" s="76"/>
      <c r="M20" s="3">
        <v>2</v>
      </c>
      <c r="N20" s="1" t="s">
        <v>258</v>
      </c>
      <c r="AO20">
        <v>2</v>
      </c>
      <c r="AP20" t="s">
        <v>401</v>
      </c>
      <c r="AQ20" t="s">
        <v>403</v>
      </c>
      <c r="AR20">
        <f>E25+E38</f>
        <v>335.87200000000001</v>
      </c>
      <c r="AS20">
        <f>F25</f>
        <v>2446.7040000000002</v>
      </c>
      <c r="AT20">
        <f>G25</f>
        <v>533.29919999999993</v>
      </c>
      <c r="AU20">
        <f>H25</f>
        <v>222.20800000000003</v>
      </c>
      <c r="AW20" t="s">
        <v>397</v>
      </c>
    </row>
    <row r="21" spans="2:49" x14ac:dyDescent="0.25">
      <c r="C21" s="126"/>
      <c r="J21" s="76"/>
      <c r="K21" s="76"/>
      <c r="M21" s="2" t="s">
        <v>144</v>
      </c>
      <c r="AO21">
        <v>3</v>
      </c>
    </row>
    <row r="22" spans="2:49" x14ac:dyDescent="0.25">
      <c r="C22" s="126"/>
      <c r="D22" s="34" t="s">
        <v>64</v>
      </c>
      <c r="J22" s="76"/>
      <c r="K22" s="76"/>
      <c r="M22" s="21" t="s">
        <v>47</v>
      </c>
      <c r="N22" s="21" t="s">
        <v>50</v>
      </c>
      <c r="O22" s="21" t="s">
        <v>51</v>
      </c>
      <c r="P22" s="21" t="s">
        <v>52</v>
      </c>
      <c r="AO22">
        <v>4</v>
      </c>
      <c r="AP22" t="s">
        <v>402</v>
      </c>
      <c r="AQ22" t="s">
        <v>396</v>
      </c>
      <c r="AR22">
        <f>E18+E19+E20*M20</f>
        <v>7300</v>
      </c>
      <c r="AS22">
        <f>F18+F19</f>
        <v>2000</v>
      </c>
      <c r="AT22">
        <f>G18+G19</f>
        <v>1050</v>
      </c>
      <c r="AU22">
        <f>H18+H19</f>
        <v>600</v>
      </c>
    </row>
    <row r="23" spans="2:49" x14ac:dyDescent="0.25">
      <c r="B23" s="23">
        <v>1</v>
      </c>
      <c r="C23" s="126"/>
      <c r="D23" s="26" t="s">
        <v>60</v>
      </c>
      <c r="E23" s="32">
        <v>800</v>
      </c>
      <c r="F23" s="32">
        <f>E24</f>
        <v>700</v>
      </c>
      <c r="G23" s="32">
        <f>F24</f>
        <v>550</v>
      </c>
      <c r="H23" s="32">
        <v>550</v>
      </c>
      <c r="J23" s="76"/>
      <c r="K23" s="76"/>
      <c r="M23" s="3">
        <v>2</v>
      </c>
      <c r="N23" s="3">
        <v>4</v>
      </c>
      <c r="O23" s="3">
        <v>2</v>
      </c>
      <c r="P23" s="3">
        <v>2</v>
      </c>
      <c r="AO23">
        <v>5</v>
      </c>
      <c r="AQ23" t="s">
        <v>404</v>
      </c>
      <c r="AR23">
        <f>E24</f>
        <v>700</v>
      </c>
      <c r="AS23">
        <f>F24</f>
        <v>550</v>
      </c>
      <c r="AT23">
        <f>G24</f>
        <v>500</v>
      </c>
      <c r="AU23">
        <f>H24</f>
        <v>350</v>
      </c>
      <c r="AW23" t="s">
        <v>397</v>
      </c>
    </row>
    <row r="24" spans="2:49" x14ac:dyDescent="0.25">
      <c r="B24" s="23">
        <v>1</v>
      </c>
      <c r="C24" s="126"/>
      <c r="D24" s="26" t="s">
        <v>61</v>
      </c>
      <c r="E24" s="32">
        <v>700</v>
      </c>
      <c r="F24" s="32">
        <v>550</v>
      </c>
      <c r="G24" s="32">
        <v>500</v>
      </c>
      <c r="H24" s="32">
        <v>350</v>
      </c>
      <c r="J24" s="76"/>
      <c r="K24" s="76"/>
      <c r="M24" s="7" t="s">
        <v>247</v>
      </c>
      <c r="AO24">
        <v>6</v>
      </c>
      <c r="AQ24" t="s">
        <v>399</v>
      </c>
      <c r="AR24">
        <f>E23*M23+E27*M27+E28*M28+E29*M29+E30*M30+E31*M31</f>
        <v>3620.8719999999998</v>
      </c>
      <c r="AS24">
        <f>F23*N23+F27*N27+F31*N31</f>
        <v>3115.8719999999998</v>
      </c>
      <c r="AT24">
        <f>G23*O23+G27*O27+G31*O31</f>
        <v>1100</v>
      </c>
      <c r="AU24">
        <f>H23*P23+H31*P31</f>
        <v>1100</v>
      </c>
    </row>
    <row r="25" spans="2:49" x14ac:dyDescent="0.25">
      <c r="B25" s="23">
        <v>1</v>
      </c>
      <c r="C25" s="126"/>
      <c r="D25" s="38" t="s">
        <v>260</v>
      </c>
      <c r="E25" s="27">
        <f>E43+E45+H48*F40*F41</f>
        <v>320.87200000000001</v>
      </c>
      <c r="F25" s="27">
        <f>E48*F41*F40+F44+((0+0+1+1+1+1+1+1+2+2)/10)*F24</f>
        <v>2446.7040000000002</v>
      </c>
      <c r="G25" s="27">
        <f>F48*F41*F40+G44</f>
        <v>533.29919999999993</v>
      </c>
      <c r="H25" s="27">
        <f>G48*F41*F40</f>
        <v>222.20800000000003</v>
      </c>
      <c r="I25" s="36"/>
      <c r="J25" s="77"/>
      <c r="K25" s="77"/>
      <c r="AO25">
        <v>7</v>
      </c>
      <c r="AQ25" t="s">
        <v>400</v>
      </c>
      <c r="AR25">
        <f>E36+E37*M37</f>
        <v>22.5</v>
      </c>
      <c r="AS25">
        <f>F36+F37*N37</f>
        <v>22.5</v>
      </c>
      <c r="AT25">
        <f>G36+G37*O37</f>
        <v>22.5</v>
      </c>
      <c r="AU25">
        <f>H36+H37*P37</f>
        <v>22.5</v>
      </c>
      <c r="AW25" t="s">
        <v>398</v>
      </c>
    </row>
    <row r="26" spans="2:49" x14ac:dyDescent="0.25">
      <c r="C26" s="126"/>
      <c r="J26" s="76"/>
      <c r="K26" s="76"/>
      <c r="M26" s="21" t="s">
        <v>47</v>
      </c>
      <c r="N26" s="21" t="s">
        <v>50</v>
      </c>
      <c r="O26" s="21" t="s">
        <v>51</v>
      </c>
      <c r="P26" s="21" t="s">
        <v>52</v>
      </c>
      <c r="AO26">
        <v>8</v>
      </c>
    </row>
    <row r="27" spans="2:49" x14ac:dyDescent="0.25">
      <c r="C27" s="126"/>
      <c r="D27" s="26" t="s">
        <v>123</v>
      </c>
      <c r="E27" s="32">
        <v>300</v>
      </c>
      <c r="F27" s="32">
        <v>300</v>
      </c>
      <c r="G27" s="32">
        <v>300</v>
      </c>
      <c r="J27" s="76"/>
      <c r="K27" s="76"/>
      <c r="M27" s="3">
        <v>0</v>
      </c>
      <c r="N27" s="3">
        <v>0</v>
      </c>
      <c r="O27" s="3">
        <v>0</v>
      </c>
      <c r="P27" s="3">
        <v>0</v>
      </c>
      <c r="AO27">
        <v>9</v>
      </c>
      <c r="AP27" t="s">
        <v>405</v>
      </c>
      <c r="AQ27" t="s">
        <v>406</v>
      </c>
      <c r="AR27">
        <f>M23+M27+M28</f>
        <v>3</v>
      </c>
      <c r="AS27">
        <f>N23+N27</f>
        <v>4</v>
      </c>
      <c r="AT27">
        <f>O23+O27</f>
        <v>2</v>
      </c>
      <c r="AU27">
        <f>P23+P27</f>
        <v>2</v>
      </c>
    </row>
    <row r="28" spans="2:49" x14ac:dyDescent="0.25">
      <c r="C28" s="126"/>
      <c r="D28" s="26" t="s">
        <v>115</v>
      </c>
      <c r="E28" s="32">
        <v>500</v>
      </c>
      <c r="J28" s="76"/>
      <c r="K28" s="76"/>
      <c r="M28" s="3">
        <v>1</v>
      </c>
      <c r="AO28">
        <v>10</v>
      </c>
      <c r="AQ28" t="s">
        <v>407</v>
      </c>
      <c r="AR28">
        <f>SUM(M23,M27:M31)</f>
        <v>8</v>
      </c>
      <c r="AS28">
        <f>SUM(N23,N27,N31)</f>
        <v>5</v>
      </c>
      <c r="AT28">
        <f>SUM(O23,O27,O31)</f>
        <v>2</v>
      </c>
      <c r="AU28">
        <f>SUM(P23,P27,P31)</f>
        <v>2</v>
      </c>
    </row>
    <row r="29" spans="2:49" x14ac:dyDescent="0.25">
      <c r="C29" s="126"/>
      <c r="D29" s="26" t="s">
        <v>116</v>
      </c>
      <c r="E29" s="32">
        <v>300</v>
      </c>
      <c r="J29" s="76"/>
      <c r="K29" s="76"/>
      <c r="M29" s="3">
        <v>0</v>
      </c>
      <c r="AO29">
        <v>11</v>
      </c>
    </row>
    <row r="30" spans="2:49" x14ac:dyDescent="0.25">
      <c r="C30" s="126"/>
      <c r="D30" s="26" t="s">
        <v>117</v>
      </c>
      <c r="E30" s="32">
        <v>300</v>
      </c>
      <c r="J30" s="76"/>
      <c r="K30" s="76"/>
      <c r="M30" s="3">
        <v>4</v>
      </c>
      <c r="AO30">
        <v>12</v>
      </c>
      <c r="AP30" t="s">
        <v>408</v>
      </c>
      <c r="AQ30" t="s">
        <v>409</v>
      </c>
      <c r="AR30">
        <f>E34*1/$M34+E35*1/$M35</f>
        <v>110</v>
      </c>
      <c r="AS30">
        <f>F34*1/$M34+F35*1/$M35</f>
        <v>110</v>
      </c>
      <c r="AT30">
        <f>G34*1/$M34+G35*1/$M35</f>
        <v>110</v>
      </c>
      <c r="AU30">
        <f>H34*1/$M34+H35*1/$M35</f>
        <v>110</v>
      </c>
      <c r="AW30" t="s">
        <v>411</v>
      </c>
    </row>
    <row r="31" spans="2:49" x14ac:dyDescent="0.25">
      <c r="C31" s="126"/>
      <c r="D31" s="38" t="s">
        <v>259</v>
      </c>
      <c r="E31" s="27">
        <f>E43+$H$48*$F$41*$F$40+E45</f>
        <v>320.87200000000001</v>
      </c>
      <c r="F31" s="27">
        <f>F43+$H$48*$F$41*$F$40</f>
        <v>315.87200000000001</v>
      </c>
      <c r="G31" s="27">
        <f>G43+$H$48*$F$41*$F$40</f>
        <v>315.87200000000001</v>
      </c>
      <c r="H31" s="27">
        <f>H43+$H$48*$F$41*$F$40</f>
        <v>315.87200000000001</v>
      </c>
      <c r="J31" s="76"/>
      <c r="K31" s="76"/>
      <c r="M31" s="3">
        <v>1</v>
      </c>
      <c r="N31" s="3">
        <v>1</v>
      </c>
      <c r="O31" s="3">
        <v>0</v>
      </c>
      <c r="P31" s="3">
        <v>0</v>
      </c>
      <c r="AO31">
        <v>13</v>
      </c>
      <c r="AQ31" t="s">
        <v>410</v>
      </c>
      <c r="AR31">
        <f>E35*0.5/$M34</f>
        <v>60</v>
      </c>
      <c r="AS31">
        <f>F35*0.5/$M34</f>
        <v>60</v>
      </c>
      <c r="AT31">
        <f>G35*0.5/$M34</f>
        <v>60</v>
      </c>
      <c r="AU31">
        <f>H35*0.5/$M34</f>
        <v>60</v>
      </c>
      <c r="AW31" t="s">
        <v>412</v>
      </c>
    </row>
    <row r="32" spans="2:49" x14ac:dyDescent="0.25">
      <c r="C32" s="126"/>
      <c r="J32" s="76"/>
      <c r="K32" s="76"/>
    </row>
    <row r="33" spans="2:38" x14ac:dyDescent="0.25">
      <c r="C33" s="126"/>
      <c r="D33" s="34" t="s">
        <v>59</v>
      </c>
      <c r="I33" s="37" t="s">
        <v>255</v>
      </c>
      <c r="J33" s="78"/>
      <c r="K33" s="78"/>
      <c r="M33" s="21" t="s">
        <v>254</v>
      </c>
    </row>
    <row r="34" spans="2:38" x14ac:dyDescent="0.25">
      <c r="B34" s="23">
        <v>1</v>
      </c>
      <c r="C34" s="126"/>
      <c r="D34" s="26" t="s">
        <v>62</v>
      </c>
      <c r="E34" s="32">
        <v>25</v>
      </c>
      <c r="F34" s="32">
        <v>25</v>
      </c>
      <c r="G34" s="32">
        <v>25</v>
      </c>
      <c r="H34" s="32">
        <v>25</v>
      </c>
      <c r="I34" s="33" t="s">
        <v>248</v>
      </c>
      <c r="J34" s="77"/>
      <c r="K34" s="77"/>
      <c r="M34" s="3">
        <v>0.5</v>
      </c>
      <c r="N34" s="1" t="s">
        <v>250</v>
      </c>
    </row>
    <row r="35" spans="2:38" x14ac:dyDescent="0.25">
      <c r="B35" s="23">
        <v>1</v>
      </c>
      <c r="C35" s="126"/>
      <c r="D35" s="26" t="s">
        <v>63</v>
      </c>
      <c r="E35" s="32">
        <v>60</v>
      </c>
      <c r="F35" s="32">
        <v>60</v>
      </c>
      <c r="G35" s="32">
        <v>60</v>
      </c>
      <c r="H35" s="32">
        <v>60</v>
      </c>
      <c r="I35" s="33" t="s">
        <v>248</v>
      </c>
      <c r="J35" s="77"/>
      <c r="K35" s="77"/>
      <c r="M35" s="3">
        <v>1</v>
      </c>
      <c r="N35" s="1" t="s">
        <v>251</v>
      </c>
    </row>
    <row r="36" spans="2:38" x14ac:dyDescent="0.25">
      <c r="C36" s="126"/>
      <c r="D36" s="26" t="s">
        <v>65</v>
      </c>
      <c r="E36" s="32">
        <v>15</v>
      </c>
      <c r="F36" s="32">
        <v>15</v>
      </c>
      <c r="G36" s="32">
        <v>15</v>
      </c>
      <c r="H36" s="32">
        <v>15</v>
      </c>
      <c r="I36" s="33" t="s">
        <v>249</v>
      </c>
      <c r="J36" s="76"/>
      <c r="K36" s="77"/>
      <c r="N36" s="1" t="s">
        <v>253</v>
      </c>
    </row>
    <row r="37" spans="2:38" x14ac:dyDescent="0.25">
      <c r="C37" s="126"/>
      <c r="D37" s="38" t="s">
        <v>269</v>
      </c>
      <c r="E37" s="49">
        <v>0.75</v>
      </c>
      <c r="F37" s="49">
        <v>0.75</v>
      </c>
      <c r="G37" s="49">
        <v>0.75</v>
      </c>
      <c r="H37" s="49">
        <v>0.75</v>
      </c>
      <c r="I37" s="33" t="s">
        <v>249</v>
      </c>
      <c r="J37" s="76" t="s">
        <v>749</v>
      </c>
      <c r="K37" s="76" t="s">
        <v>748</v>
      </c>
      <c r="M37" s="3">
        <v>10</v>
      </c>
      <c r="N37" s="3">
        <v>10</v>
      </c>
      <c r="O37" s="3">
        <v>10</v>
      </c>
      <c r="P37" s="3">
        <v>10</v>
      </c>
      <c r="Q37" s="1" t="s">
        <v>268</v>
      </c>
      <c r="U37" s="14"/>
      <c r="W37" s="55"/>
      <c r="X37" s="55"/>
      <c r="Y37" s="55"/>
      <c r="Z37" s="55"/>
      <c r="AA37" s="55"/>
      <c r="AB37" s="55"/>
      <c r="AC37" s="55"/>
      <c r="AD37" s="55"/>
      <c r="AE37" s="55"/>
      <c r="AF37" s="55"/>
      <c r="AG37" s="55"/>
      <c r="AH37" s="55"/>
      <c r="AI37" s="55"/>
      <c r="AJ37" s="55"/>
      <c r="AK37" s="55"/>
      <c r="AL37" s="55"/>
    </row>
    <row r="38" spans="2:38" ht="15.75" thickBot="1" x14ac:dyDescent="0.3">
      <c r="C38" s="125"/>
      <c r="D38" s="26" t="s">
        <v>118</v>
      </c>
      <c r="E38" s="32">
        <v>15</v>
      </c>
      <c r="I38" s="33" t="s">
        <v>256</v>
      </c>
      <c r="J38" s="77"/>
      <c r="K38" s="77"/>
      <c r="M38" s="1"/>
    </row>
    <row r="39" spans="2:38" ht="15.75" thickBot="1" x14ac:dyDescent="0.3">
      <c r="J39" s="76"/>
      <c r="K39" s="76"/>
    </row>
    <row r="40" spans="2:38" x14ac:dyDescent="0.25">
      <c r="B40" s="23">
        <v>1</v>
      </c>
      <c r="C40" s="124" t="s">
        <v>266</v>
      </c>
      <c r="D40" s="26" t="s">
        <v>128</v>
      </c>
      <c r="E40" s="26" t="s">
        <v>137</v>
      </c>
      <c r="F40" s="49">
        <v>9.92</v>
      </c>
      <c r="G40" s="67"/>
      <c r="J40" s="76"/>
      <c r="K40" s="76"/>
    </row>
    <row r="41" spans="2:38" x14ac:dyDescent="0.25">
      <c r="B41" s="23">
        <v>1</v>
      </c>
      <c r="C41" s="126"/>
      <c r="E41" s="26" t="s">
        <v>138</v>
      </c>
      <c r="F41" s="47">
        <v>0.16</v>
      </c>
      <c r="G41" s="67"/>
      <c r="J41" s="76"/>
      <c r="K41" s="76"/>
    </row>
    <row r="42" spans="2:38" x14ac:dyDescent="0.25">
      <c r="C42" s="126"/>
      <c r="J42" s="76"/>
      <c r="K42" s="76"/>
    </row>
    <row r="43" spans="2:38" x14ac:dyDescent="0.25">
      <c r="C43" s="126"/>
      <c r="D43" s="26" t="s">
        <v>66</v>
      </c>
      <c r="E43" s="32">
        <v>300</v>
      </c>
      <c r="F43" s="32">
        <v>300</v>
      </c>
      <c r="G43" s="32">
        <v>300</v>
      </c>
      <c r="H43" s="32">
        <v>300</v>
      </c>
      <c r="J43" s="76" t="s">
        <v>523</v>
      </c>
      <c r="K43" s="76"/>
    </row>
    <row r="44" spans="2:38" x14ac:dyDescent="0.25">
      <c r="C44" s="126"/>
      <c r="D44" s="26" t="s">
        <v>95</v>
      </c>
      <c r="F44" s="32">
        <v>0</v>
      </c>
      <c r="G44" s="32">
        <v>0</v>
      </c>
      <c r="J44" s="76"/>
      <c r="K44" s="76"/>
    </row>
    <row r="45" spans="2:38" x14ac:dyDescent="0.25">
      <c r="C45" s="126"/>
      <c r="D45" s="26" t="s">
        <v>309</v>
      </c>
      <c r="E45" s="32">
        <v>5</v>
      </c>
      <c r="F45" s="33" t="s">
        <v>17</v>
      </c>
      <c r="J45" s="76"/>
      <c r="K45" s="76"/>
    </row>
    <row r="46" spans="2:38" x14ac:dyDescent="0.25">
      <c r="C46" s="126"/>
      <c r="J46" s="76"/>
      <c r="K46" s="76"/>
    </row>
    <row r="47" spans="2:38" x14ac:dyDescent="0.25">
      <c r="C47" s="126"/>
      <c r="D47" s="34" t="s">
        <v>139</v>
      </c>
      <c r="E47" s="26" t="s">
        <v>608</v>
      </c>
      <c r="F47" s="26" t="s">
        <v>607</v>
      </c>
      <c r="G47" s="26" t="s">
        <v>606</v>
      </c>
      <c r="H47" s="26" t="s">
        <v>142</v>
      </c>
      <c r="J47" s="76"/>
      <c r="K47" s="76"/>
    </row>
    <row r="48" spans="2:38" ht="15.75" thickBot="1" x14ac:dyDescent="0.3">
      <c r="B48" s="23">
        <v>1</v>
      </c>
      <c r="C48" s="125"/>
      <c r="D48" s="26" t="s">
        <v>141</v>
      </c>
      <c r="E48" s="48">
        <f>AVERAGE('Distances matrix'!D6:M6)*2</f>
        <v>1195</v>
      </c>
      <c r="F48" s="48">
        <v>336</v>
      </c>
      <c r="G48" s="48">
        <v>140</v>
      </c>
      <c r="H48" s="48">
        <v>10</v>
      </c>
      <c r="J48" s="76"/>
      <c r="K48" s="76"/>
    </row>
    <row r="49" spans="2:53" x14ac:dyDescent="0.25">
      <c r="J49" s="76"/>
      <c r="K49" s="76"/>
    </row>
    <row r="50" spans="2:53" ht="18" thickBot="1" x14ac:dyDescent="0.35">
      <c r="C50" s="11" t="s">
        <v>147</v>
      </c>
      <c r="J50" s="76"/>
      <c r="K50" s="76"/>
    </row>
    <row r="51" spans="2:53" ht="16.5" thickTop="1" thickBot="1" x14ac:dyDescent="0.3">
      <c r="J51" s="76"/>
      <c r="K51" s="76"/>
    </row>
    <row r="52" spans="2:53" x14ac:dyDescent="0.25">
      <c r="C52" s="121" t="s">
        <v>564</v>
      </c>
      <c r="D52" s="26" t="s">
        <v>237</v>
      </c>
      <c r="E52" s="26" t="s">
        <v>68</v>
      </c>
      <c r="F52" s="32">
        <v>2500</v>
      </c>
      <c r="G52" s="33" t="s">
        <v>189</v>
      </c>
      <c r="J52" s="76" t="s">
        <v>524</v>
      </c>
      <c r="K52" s="76"/>
      <c r="M52" s="3">
        <v>1</v>
      </c>
      <c r="N52" s="1" t="s">
        <v>223</v>
      </c>
      <c r="O52" s="3">
        <v>30</v>
      </c>
      <c r="P52" s="1" t="s">
        <v>224</v>
      </c>
      <c r="S52" s="27">
        <f>(HLOOKUP(M54,$AR$19:$AU$31,$AO$20,FALSE)+ROUNDUP(M55,0)*(HLOOKUP(M54,$AR$19:$AU$31,$AO$22,FALSE)+HLOOKUP(M54,$AR$19:$AU$31,$AO$24,FALSE)+M53*HLOOKUP(M54,$AR$19:$AU$31,$AO$23,FALSE)+(M53+HLOOKUP(M54,$AR$19:$AU$31,$AO$27,FALSE))*HLOOKUP(M54,$AR$19:$AU$31,$AO$25,FALSE))+(M53+HLOOKUP(M54,$AR$19:$AU$31,$AO$28,FALSE))*IF(M55&gt;0.5,HLOOKUP(M54,$AR$19:$AU$31,$AO$30,FALSE),HLOOKUP(M54,$AR$19:$AU$31,$AO$31,FALSE)))*O53+F52*M52*O52</f>
        <v>75000</v>
      </c>
      <c r="U52" s="3" t="s">
        <v>176</v>
      </c>
      <c r="W52" s="45">
        <f>VLOOKUP($U52,'Regional splits'!$B$15:$R$22,W$5,FALSE)</f>
        <v>0</v>
      </c>
      <c r="X52" s="45">
        <f>VLOOKUP($U52,'Regional splits'!$B$15:$R$22,X$5,FALSE)</f>
        <v>0</v>
      </c>
      <c r="Y52" s="45">
        <f>VLOOKUP($U52,'Regional splits'!$B$15:$R$22,Y$5,FALSE)</f>
        <v>0</v>
      </c>
      <c r="Z52" s="45">
        <f>VLOOKUP($U52,'Regional splits'!$B$15:$R$22,Z$5,FALSE)</f>
        <v>0</v>
      </c>
      <c r="AA52" s="45">
        <f>VLOOKUP($U52,'Regional splits'!$B$15:$R$22,AA$5,FALSE)</f>
        <v>0</v>
      </c>
      <c r="AB52" s="45">
        <f>VLOOKUP($U52,'Regional splits'!$B$15:$R$22,AB$5,FALSE)</f>
        <v>0</v>
      </c>
      <c r="AC52" s="45">
        <f>VLOOKUP($U52,'Regional splits'!$B$15:$R$22,AC$5,FALSE)</f>
        <v>0</v>
      </c>
      <c r="AD52" s="45">
        <f>VLOOKUP($U52,'Regional splits'!$B$15:$R$22,AD$5,FALSE)</f>
        <v>0</v>
      </c>
      <c r="AE52" s="45">
        <f>VLOOKUP($U52,'Regional splits'!$B$15:$R$22,AE$5,FALSE)</f>
        <v>0</v>
      </c>
      <c r="AF52" s="45">
        <f>VLOOKUP($U52,'Regional splits'!$B$15:$R$22,AF$5,FALSE)</f>
        <v>0</v>
      </c>
      <c r="AG52" s="45">
        <f>VLOOKUP($U52,'Regional splits'!$B$15:$R$22,AG$5,FALSE)</f>
        <v>0</v>
      </c>
      <c r="AH52" s="45">
        <f>VLOOKUP($U52,'Regional splits'!$B$15:$R$22,AH$5,FALSE)</f>
        <v>0</v>
      </c>
      <c r="AI52" s="45">
        <f>VLOOKUP($U52,'Regional splits'!$B$15:$R$22,AI$5,FALSE)</f>
        <v>0</v>
      </c>
      <c r="AJ52" s="45">
        <f>VLOOKUP($U52,'Regional splits'!$B$15:$R$22,AJ$5,FALSE)</f>
        <v>0</v>
      </c>
      <c r="AK52" s="45">
        <f>VLOOKUP($U52,'Regional splits'!$B$15:$R$22,AK$5,FALSE)</f>
        <v>0</v>
      </c>
      <c r="AL52" s="45">
        <f>VLOOKUP($U52,'Regional splits'!$B$15:$R$22,AL$5,FALSE)</f>
        <v>1</v>
      </c>
      <c r="AN52" s="3">
        <v>2013</v>
      </c>
      <c r="AP52">
        <f t="shared" ref="AP52:AY52" si="1">IF(ISNUMBER(SEARCH(AP$3,$AN52)),1,0)</f>
        <v>1</v>
      </c>
      <c r="AQ52">
        <f t="shared" si="1"/>
        <v>0</v>
      </c>
      <c r="AR52">
        <f t="shared" si="1"/>
        <v>0</v>
      </c>
      <c r="AS52">
        <f t="shared" si="1"/>
        <v>0</v>
      </c>
      <c r="AT52">
        <f t="shared" si="1"/>
        <v>0</v>
      </c>
      <c r="AU52">
        <f t="shared" si="1"/>
        <v>0</v>
      </c>
      <c r="AV52">
        <f t="shared" si="1"/>
        <v>0</v>
      </c>
      <c r="AW52">
        <f t="shared" si="1"/>
        <v>0</v>
      </c>
      <c r="AX52">
        <f t="shared" si="1"/>
        <v>0</v>
      </c>
      <c r="AY52">
        <f t="shared" si="1"/>
        <v>0</v>
      </c>
      <c r="BA52" s="31">
        <f>S52*COUNTIFS(AP52:AY52,"1",$AP$4:$AY$4,"TRUE")</f>
        <v>75000</v>
      </c>
    </row>
    <row r="53" spans="2:53" x14ac:dyDescent="0.25">
      <c r="C53" s="122"/>
      <c r="D53" s="26" t="s">
        <v>239</v>
      </c>
      <c r="E53" s="26" t="s">
        <v>238</v>
      </c>
      <c r="F53" s="39" t="s">
        <v>227</v>
      </c>
      <c r="J53" s="76"/>
      <c r="K53" s="76"/>
      <c r="M53" s="3">
        <v>0</v>
      </c>
      <c r="N53" s="1" t="s">
        <v>225</v>
      </c>
      <c r="O53" s="3">
        <v>0</v>
      </c>
      <c r="P53" s="1" t="s">
        <v>229</v>
      </c>
    </row>
    <row r="54" spans="2:53" x14ac:dyDescent="0.25">
      <c r="C54" s="122"/>
      <c r="J54" s="76"/>
      <c r="K54" s="76"/>
      <c r="M54" s="3" t="s">
        <v>50</v>
      </c>
      <c r="N54" s="1" t="s">
        <v>226</v>
      </c>
    </row>
    <row r="55" spans="2:53" ht="15.75" thickBot="1" x14ac:dyDescent="0.3">
      <c r="C55" s="123"/>
      <c r="J55" s="76"/>
      <c r="K55" s="76"/>
      <c r="M55" s="3">
        <v>1</v>
      </c>
      <c r="N55" s="1" t="s">
        <v>252</v>
      </c>
    </row>
    <row r="56" spans="2:53" ht="15.75" thickBot="1" x14ac:dyDescent="0.3">
      <c r="J56" s="76"/>
      <c r="K56" s="76"/>
    </row>
    <row r="57" spans="2:53" x14ac:dyDescent="0.25">
      <c r="C57" s="121" t="s">
        <v>565</v>
      </c>
      <c r="G57" s="137" t="s">
        <v>169</v>
      </c>
      <c r="H57" s="137"/>
      <c r="I57" s="137"/>
      <c r="J57" s="79"/>
      <c r="K57" s="79"/>
      <c r="M57" s="1"/>
      <c r="N57" s="138" t="s">
        <v>167</v>
      </c>
      <c r="O57" s="138"/>
      <c r="P57" s="138"/>
    </row>
    <row r="58" spans="2:53" x14ac:dyDescent="0.25">
      <c r="C58" s="122"/>
      <c r="F58" s="26" t="s">
        <v>2</v>
      </c>
      <c r="G58" s="26" t="s">
        <v>126</v>
      </c>
      <c r="H58" s="26" t="s">
        <v>127</v>
      </c>
      <c r="I58" s="26" t="s">
        <v>168</v>
      </c>
      <c r="J58" s="80" t="s">
        <v>737</v>
      </c>
      <c r="K58" s="76"/>
      <c r="M58" s="1" t="s">
        <v>166</v>
      </c>
      <c r="N58" s="1" t="s">
        <v>126</v>
      </c>
      <c r="O58" s="1" t="s">
        <v>127</v>
      </c>
      <c r="P58" s="1" t="s">
        <v>168</v>
      </c>
    </row>
    <row r="59" spans="2:53" x14ac:dyDescent="0.25">
      <c r="B59" s="23">
        <v>1</v>
      </c>
      <c r="C59" s="122"/>
      <c r="D59" s="26" t="s">
        <v>1</v>
      </c>
      <c r="E59" s="26" t="s">
        <v>3</v>
      </c>
      <c r="F59" s="32">
        <v>400</v>
      </c>
      <c r="G59" s="32">
        <v>250</v>
      </c>
      <c r="H59" s="32">
        <f>(120+150)/2</f>
        <v>135</v>
      </c>
      <c r="I59" s="32">
        <v>50</v>
      </c>
      <c r="J59" s="80" t="s">
        <v>732</v>
      </c>
      <c r="K59" s="80" t="s">
        <v>731</v>
      </c>
      <c r="M59" s="3">
        <f>4*8</f>
        <v>32</v>
      </c>
      <c r="N59" s="3">
        <v>365</v>
      </c>
      <c r="O59" s="3">
        <v>0</v>
      </c>
      <c r="P59" s="3">
        <f>9*365</f>
        <v>3285</v>
      </c>
      <c r="S59" s="27">
        <f>SUMPRODUCT(F59:F64,M59:M64)+SUMPRODUCT(G59:G64,N59:N64)+SUMPRODUCT(H59:H64,O59:O64)+SUMPRODUCT(I59:I64,P59:P64)</f>
        <v>581900</v>
      </c>
      <c r="U59" s="3" t="s">
        <v>176</v>
      </c>
      <c r="W59" s="45">
        <f>VLOOKUP($U59,'Regional splits'!$B$15:$R$22,W$5,FALSE)</f>
        <v>0</v>
      </c>
      <c r="X59" s="45">
        <f>VLOOKUP($U59,'Regional splits'!$B$15:$R$22,X$5,FALSE)</f>
        <v>0</v>
      </c>
      <c r="Y59" s="45">
        <f>VLOOKUP($U59,'Regional splits'!$B$15:$R$22,Y$5,FALSE)</f>
        <v>0</v>
      </c>
      <c r="Z59" s="45">
        <f>VLOOKUP($U59,'Regional splits'!$B$15:$R$22,Z$5,FALSE)</f>
        <v>0</v>
      </c>
      <c r="AA59" s="45">
        <f>VLOOKUP($U59,'Regional splits'!$B$15:$R$22,AA$5,FALSE)</f>
        <v>0</v>
      </c>
      <c r="AB59" s="45">
        <f>VLOOKUP($U59,'Regional splits'!$B$15:$R$22,AB$5,FALSE)</f>
        <v>0</v>
      </c>
      <c r="AC59" s="45">
        <f>VLOOKUP($U59,'Regional splits'!$B$15:$R$22,AC$5,FALSE)</f>
        <v>0</v>
      </c>
      <c r="AD59" s="45">
        <f>VLOOKUP($U59,'Regional splits'!$B$15:$R$22,AD$5,FALSE)</f>
        <v>0</v>
      </c>
      <c r="AE59" s="45">
        <f>VLOOKUP($U59,'Regional splits'!$B$15:$R$22,AE$5,FALSE)</f>
        <v>0</v>
      </c>
      <c r="AF59" s="45">
        <f>VLOOKUP($U59,'Regional splits'!$B$15:$R$22,AF$5,FALSE)</f>
        <v>0</v>
      </c>
      <c r="AG59" s="45">
        <f>VLOOKUP($U59,'Regional splits'!$B$15:$R$22,AG$5,FALSE)</f>
        <v>0</v>
      </c>
      <c r="AH59" s="45">
        <f>VLOOKUP($U59,'Regional splits'!$B$15:$R$22,AH$5,FALSE)</f>
        <v>0</v>
      </c>
      <c r="AI59" s="45">
        <f>VLOOKUP($U59,'Regional splits'!$B$15:$R$22,AI$5,FALSE)</f>
        <v>0</v>
      </c>
      <c r="AJ59" s="45">
        <f>VLOOKUP($U59,'Regional splits'!$B$15:$R$22,AJ$5,FALSE)</f>
        <v>0</v>
      </c>
      <c r="AK59" s="45">
        <f>VLOOKUP($U59,'Regional splits'!$B$15:$R$22,AK$5,FALSE)</f>
        <v>0</v>
      </c>
      <c r="AL59" s="45">
        <f>VLOOKUP($U59,'Regional splits'!$B$15:$R$22,AL$5,FALSE)</f>
        <v>1</v>
      </c>
      <c r="AN59" s="3" t="s">
        <v>417</v>
      </c>
      <c r="AP59">
        <f t="shared" ref="AP59:AY59" si="2">IF(ISNUMBER(SEARCH(AP$3,$AN59)),1,0)</f>
        <v>0</v>
      </c>
      <c r="AQ59">
        <f t="shared" si="2"/>
        <v>1</v>
      </c>
      <c r="AR59">
        <f t="shared" si="2"/>
        <v>1</v>
      </c>
      <c r="AS59">
        <f t="shared" si="2"/>
        <v>1</v>
      </c>
      <c r="AT59">
        <f t="shared" si="2"/>
        <v>1</v>
      </c>
      <c r="AU59">
        <f t="shared" si="2"/>
        <v>1</v>
      </c>
      <c r="AV59">
        <f t="shared" si="2"/>
        <v>1</v>
      </c>
      <c r="AW59">
        <f t="shared" si="2"/>
        <v>1</v>
      </c>
      <c r="AX59">
        <f t="shared" si="2"/>
        <v>0</v>
      </c>
      <c r="AY59">
        <f t="shared" si="2"/>
        <v>0</v>
      </c>
      <c r="BA59" s="31">
        <f>S59*COUNTIFS(AP59:AY59,"1",$AP$4:$AY$4,"TRUE")</f>
        <v>4073300</v>
      </c>
    </row>
    <row r="60" spans="2:53" x14ac:dyDescent="0.25">
      <c r="C60" s="122"/>
      <c r="E60" s="26" t="s">
        <v>5</v>
      </c>
      <c r="F60" s="32">
        <v>800</v>
      </c>
      <c r="G60" s="32">
        <v>600</v>
      </c>
      <c r="H60" s="32">
        <f>(240+300)/2*1.5</f>
        <v>405</v>
      </c>
      <c r="I60" s="32">
        <f>85*2</f>
        <v>170</v>
      </c>
      <c r="J60" s="80" t="s">
        <v>733</v>
      </c>
      <c r="K60" s="80" t="s">
        <v>734</v>
      </c>
      <c r="M60" s="3">
        <v>0</v>
      </c>
      <c r="N60" s="3">
        <v>0</v>
      </c>
      <c r="O60" s="3">
        <v>0</v>
      </c>
      <c r="P60" s="3">
        <v>0</v>
      </c>
    </row>
    <row r="61" spans="2:53" x14ac:dyDescent="0.25">
      <c r="C61" s="122"/>
      <c r="E61" s="26" t="s">
        <v>4</v>
      </c>
      <c r="F61" s="32">
        <v>1200</v>
      </c>
      <c r="G61" s="32">
        <v>1000</v>
      </c>
      <c r="H61" s="32">
        <f>(550+570)/2</f>
        <v>560</v>
      </c>
      <c r="I61" s="32">
        <v>220</v>
      </c>
      <c r="J61" s="80" t="s">
        <v>736</v>
      </c>
      <c r="K61" s="80" t="s">
        <v>735</v>
      </c>
      <c r="M61" s="3">
        <v>36</v>
      </c>
      <c r="N61" s="3">
        <v>0</v>
      </c>
      <c r="O61" s="3">
        <v>0</v>
      </c>
      <c r="P61" s="3">
        <f>36*20</f>
        <v>720</v>
      </c>
    </row>
    <row r="62" spans="2:53" x14ac:dyDescent="0.25">
      <c r="B62" s="23">
        <v>1</v>
      </c>
      <c r="C62" s="122"/>
      <c r="D62" s="26" t="s">
        <v>6</v>
      </c>
      <c r="E62" s="26" t="s">
        <v>3</v>
      </c>
      <c r="F62" s="32">
        <v>1500</v>
      </c>
      <c r="G62" s="32">
        <v>4320</v>
      </c>
      <c r="H62" s="32">
        <v>900</v>
      </c>
      <c r="I62" s="32">
        <f t="shared" ref="I62:I64" si="3">H62/2</f>
        <v>450</v>
      </c>
      <c r="J62" s="80" t="s">
        <v>741</v>
      </c>
      <c r="K62" s="80" t="s">
        <v>740</v>
      </c>
      <c r="M62" s="3">
        <v>0</v>
      </c>
      <c r="N62" s="3">
        <v>0</v>
      </c>
      <c r="O62" s="3">
        <v>0</v>
      </c>
      <c r="P62" s="3">
        <v>0</v>
      </c>
    </row>
    <row r="63" spans="2:53" x14ac:dyDescent="0.25">
      <c r="C63" s="122"/>
      <c r="E63" s="26" t="s">
        <v>7</v>
      </c>
      <c r="F63" s="32">
        <v>8000</v>
      </c>
      <c r="G63" s="32">
        <v>10000</v>
      </c>
      <c r="H63" s="32">
        <v>6500</v>
      </c>
      <c r="I63" s="32">
        <f t="shared" si="3"/>
        <v>3250</v>
      </c>
      <c r="J63" s="80" t="s">
        <v>742</v>
      </c>
      <c r="K63" s="80" t="s">
        <v>738</v>
      </c>
      <c r="M63" s="3">
        <v>4</v>
      </c>
      <c r="N63" s="3">
        <f>2*4</f>
        <v>8</v>
      </c>
      <c r="O63" s="3">
        <v>0</v>
      </c>
      <c r="P63" s="3">
        <v>0</v>
      </c>
    </row>
    <row r="64" spans="2:53" ht="15.75" thickBot="1" x14ac:dyDescent="0.3">
      <c r="C64" s="123"/>
      <c r="E64" s="26" t="s">
        <v>8</v>
      </c>
      <c r="F64" s="32">
        <v>12500</v>
      </c>
      <c r="G64" s="32">
        <v>17500</v>
      </c>
      <c r="H64" s="32">
        <v>15000</v>
      </c>
      <c r="I64" s="32">
        <f t="shared" si="3"/>
        <v>7500</v>
      </c>
      <c r="J64" s="80" t="s">
        <v>743</v>
      </c>
      <c r="K64" s="80" t="s">
        <v>739</v>
      </c>
      <c r="M64" s="3">
        <v>0</v>
      </c>
      <c r="N64" s="3">
        <v>0</v>
      </c>
      <c r="O64" s="3">
        <v>0</v>
      </c>
      <c r="P64" s="3">
        <v>0</v>
      </c>
    </row>
    <row r="65" spans="3:53" ht="15.75" thickBot="1" x14ac:dyDescent="0.3">
      <c r="J65" s="76"/>
      <c r="K65" s="76"/>
    </row>
    <row r="66" spans="3:53" x14ac:dyDescent="0.25">
      <c r="C66" s="121" t="s">
        <v>566</v>
      </c>
      <c r="D66" s="26" t="s">
        <v>197</v>
      </c>
      <c r="F66" s="32">
        <v>0</v>
      </c>
      <c r="G66" s="33" t="s">
        <v>198</v>
      </c>
      <c r="J66" s="76"/>
      <c r="K66" s="76"/>
      <c r="M66" s="3">
        <v>2400</v>
      </c>
      <c r="N66" s="1" t="s">
        <v>196</v>
      </c>
      <c r="S66" s="27">
        <f>M66*SUM(F66:F68)</f>
        <v>840000</v>
      </c>
      <c r="U66" s="3" t="s">
        <v>43</v>
      </c>
      <c r="W66" s="45">
        <f>VLOOKUP($U66,'Regional splits'!$B$15:$R$22,W$5,FALSE)</f>
        <v>0.10690633869441817</v>
      </c>
      <c r="X66" s="45">
        <f>VLOOKUP($U66,'Regional splits'!$B$15:$R$22,X$5,FALSE)</f>
        <v>5.0141911069063384E-2</v>
      </c>
      <c r="Y66" s="45">
        <f>VLOOKUP($U66,'Regional splits'!$B$15:$R$22,Y$5,FALSE)</f>
        <v>0.12961210974456008</v>
      </c>
      <c r="Z66" s="45">
        <f>VLOOKUP($U66,'Regional splits'!$B$15:$R$22,Z$5,FALSE)</f>
        <v>0.11825922421948912</v>
      </c>
      <c r="AA66" s="45">
        <f>VLOOKUP($U66,'Regional splits'!$B$15:$R$22,AA$5,FALSE)</f>
        <v>4.4465468306527908E-2</v>
      </c>
      <c r="AB66" s="45">
        <f>VLOOKUP($U66,'Regional splits'!$B$15:$R$22,AB$5,FALSE)</f>
        <v>6.7171239356669826E-2</v>
      </c>
      <c r="AC66" s="45">
        <f>VLOOKUP($U66,'Regional splits'!$B$15:$R$22,AC$5,FALSE)</f>
        <v>8.7984862819299903E-2</v>
      </c>
      <c r="AD66" s="45">
        <f>VLOOKUP($U66,'Regional splits'!$B$15:$R$22,AD$5,FALSE)</f>
        <v>0.11352885525070956</v>
      </c>
      <c r="AE66" s="45">
        <f>VLOOKUP($U66,'Regional splits'!$B$15:$R$22,AE$5,FALSE)</f>
        <v>0.16367076631977295</v>
      </c>
      <c r="AF66" s="45">
        <f>VLOOKUP($U66,'Regional splits'!$B$15:$R$22,AF$5,FALSE)</f>
        <v>0.11825922421948912</v>
      </c>
      <c r="AG66" s="45">
        <f>VLOOKUP($U66,'Regional splits'!$B$15:$R$22,AG$5,FALSE)</f>
        <v>0</v>
      </c>
      <c r="AH66" s="45">
        <f>VLOOKUP($U66,'Regional splits'!$B$15:$R$22,AH$5,FALSE)</f>
        <v>0</v>
      </c>
      <c r="AI66" s="45">
        <f>VLOOKUP($U66,'Regional splits'!$B$15:$R$22,AI$5,FALSE)</f>
        <v>0</v>
      </c>
      <c r="AJ66" s="45">
        <f>VLOOKUP($U66,'Regional splits'!$B$15:$R$22,AJ$5,FALSE)</f>
        <v>0</v>
      </c>
      <c r="AK66" s="45">
        <f>VLOOKUP($U66,'Regional splits'!$B$15:$R$22,AK$5,FALSE)</f>
        <v>0</v>
      </c>
      <c r="AL66" s="45">
        <f>VLOOKUP($U66,'Regional splits'!$B$15:$R$22,AL$5,FALSE)</f>
        <v>0</v>
      </c>
      <c r="AN66" s="3" t="s">
        <v>417</v>
      </c>
      <c r="AP66">
        <f t="shared" ref="AP66:AY66" si="4">IF(ISNUMBER(SEARCH(AP$3,$AN66)),1,0)</f>
        <v>0</v>
      </c>
      <c r="AQ66">
        <f t="shared" si="4"/>
        <v>1</v>
      </c>
      <c r="AR66">
        <f t="shared" si="4"/>
        <v>1</v>
      </c>
      <c r="AS66">
        <f t="shared" si="4"/>
        <v>1</v>
      </c>
      <c r="AT66">
        <f t="shared" si="4"/>
        <v>1</v>
      </c>
      <c r="AU66">
        <f t="shared" si="4"/>
        <v>1</v>
      </c>
      <c r="AV66">
        <f t="shared" si="4"/>
        <v>1</v>
      </c>
      <c r="AW66">
        <f t="shared" si="4"/>
        <v>1</v>
      </c>
      <c r="AX66">
        <f t="shared" si="4"/>
        <v>0</v>
      </c>
      <c r="AY66">
        <f t="shared" si="4"/>
        <v>0</v>
      </c>
      <c r="BA66" s="31">
        <f>S66*COUNTIFS(AP66:AY66,"1",$AP$4:$AY$4,"TRUE")</f>
        <v>5880000</v>
      </c>
    </row>
    <row r="67" spans="3:53" x14ac:dyDescent="0.25">
      <c r="C67" s="122"/>
      <c r="D67" s="26" t="s">
        <v>199</v>
      </c>
      <c r="F67" s="32">
        <v>100</v>
      </c>
      <c r="G67" s="33" t="s">
        <v>202</v>
      </c>
      <c r="J67" s="76"/>
      <c r="K67" s="76"/>
    </row>
    <row r="68" spans="3:53" ht="15.75" thickBot="1" x14ac:dyDescent="0.3">
      <c r="C68" s="123"/>
      <c r="D68" s="26" t="s">
        <v>200</v>
      </c>
      <c r="F68" s="32">
        <v>250</v>
      </c>
      <c r="G68" s="33" t="s">
        <v>202</v>
      </c>
      <c r="J68" s="76" t="s">
        <v>526</v>
      </c>
      <c r="K68" s="76"/>
    </row>
    <row r="69" spans="3:53" ht="15.75" thickBot="1" x14ac:dyDescent="0.3">
      <c r="J69" s="76"/>
      <c r="K69" s="76"/>
    </row>
    <row r="70" spans="3:53" x14ac:dyDescent="0.25">
      <c r="C70" s="121" t="s">
        <v>567</v>
      </c>
      <c r="J70" s="76"/>
      <c r="K70" s="76"/>
      <c r="M70" s="3">
        <v>4</v>
      </c>
      <c r="N70" s="1" t="s">
        <v>184</v>
      </c>
      <c r="S70" s="27">
        <f>M70*(F71+F73+F75+M71*F72+M73*F74+M75*F76+M77*F77)+M78*F78</f>
        <v>10357280</v>
      </c>
      <c r="U70" s="3" t="s">
        <v>573</v>
      </c>
      <c r="W70" s="45">
        <f>VLOOKUP($U70,'Regional splits'!$B$15:$R$22,W$5,FALSE)</f>
        <v>0.10169491525423729</v>
      </c>
      <c r="X70" s="45">
        <f>VLOOKUP($U70,'Regional splits'!$B$15:$R$22,X$5,FALSE)</f>
        <v>0.12146892655367232</v>
      </c>
      <c r="Y70" s="45">
        <f>VLOOKUP($U70,'Regional splits'!$B$15:$R$22,Y$5,FALSE)</f>
        <v>0.11073446327683616</v>
      </c>
      <c r="Z70" s="45">
        <f>VLOOKUP($U70,'Regional splits'!$B$15:$R$22,Z$5,FALSE)</f>
        <v>7.6836158192090401E-2</v>
      </c>
      <c r="AA70" s="45">
        <f>VLOOKUP($U70,'Regional splits'!$B$15:$R$22,AA$5,FALSE)</f>
        <v>0.14745762711864407</v>
      </c>
      <c r="AB70" s="45">
        <f>VLOOKUP($U70,'Regional splits'!$B$15:$R$22,AB$5,FALSE)</f>
        <v>5.3107344632768359E-2</v>
      </c>
      <c r="AC70" s="45">
        <f>VLOOKUP($U70,'Regional splits'!$B$15:$R$22,AC$5,FALSE)</f>
        <v>7.6271186440677971E-2</v>
      </c>
      <c r="AD70" s="45">
        <f>VLOOKUP($U70,'Regional splits'!$B$15:$R$22,AD$5,FALSE)</f>
        <v>8.7570621468926552E-2</v>
      </c>
      <c r="AE70" s="45">
        <f>VLOOKUP($U70,'Regional splits'!$B$15:$R$22,AE$5,FALSE)</f>
        <v>0.13446327683615819</v>
      </c>
      <c r="AF70" s="45">
        <f>VLOOKUP($U70,'Regional splits'!$B$15:$R$22,AF$5,FALSE)</f>
        <v>9.03954802259887E-2</v>
      </c>
      <c r="AG70" s="45">
        <f>VLOOKUP($U70,'Regional splits'!$B$15:$R$22,AG$5,FALSE)</f>
        <v>0</v>
      </c>
      <c r="AH70" s="45">
        <f>VLOOKUP($U70,'Regional splits'!$B$15:$R$22,AH$5,FALSE)</f>
        <v>0</v>
      </c>
      <c r="AI70" s="45">
        <f>VLOOKUP($U70,'Regional splits'!$B$15:$R$22,AI$5,FALSE)</f>
        <v>0</v>
      </c>
      <c r="AJ70" s="45">
        <f>VLOOKUP($U70,'Regional splits'!$B$15:$R$22,AJ$5,FALSE)</f>
        <v>0</v>
      </c>
      <c r="AK70" s="45">
        <f>VLOOKUP($U70,'Regional splits'!$B$15:$R$22,AK$5,FALSE)</f>
        <v>0</v>
      </c>
      <c r="AL70" s="45">
        <f>VLOOKUP($U70,'Regional splits'!$B$15:$R$22,AL$5,FALSE)</f>
        <v>0</v>
      </c>
      <c r="AN70" s="3" t="s">
        <v>544</v>
      </c>
      <c r="AP70">
        <f t="shared" ref="AP70:AY70" si="5">IF(ISNUMBER(SEARCH(AP$3,$AN70)),1,0)</f>
        <v>0</v>
      </c>
      <c r="AQ70">
        <f t="shared" si="5"/>
        <v>1</v>
      </c>
      <c r="AR70">
        <f t="shared" si="5"/>
        <v>0</v>
      </c>
      <c r="AS70">
        <f t="shared" si="5"/>
        <v>0</v>
      </c>
      <c r="AT70">
        <f t="shared" si="5"/>
        <v>1</v>
      </c>
      <c r="AU70">
        <f t="shared" si="5"/>
        <v>0</v>
      </c>
      <c r="AV70">
        <f t="shared" si="5"/>
        <v>0</v>
      </c>
      <c r="AW70">
        <f t="shared" si="5"/>
        <v>1</v>
      </c>
      <c r="AX70">
        <f t="shared" si="5"/>
        <v>0</v>
      </c>
      <c r="AY70">
        <f t="shared" si="5"/>
        <v>0</v>
      </c>
      <c r="BA70" s="31">
        <f>S70*COUNTIFS(AP70:AY70,"1",$AP$4:$AY$4,"TRUE")</f>
        <v>31071840</v>
      </c>
    </row>
    <row r="71" spans="3:53" ht="15" customHeight="1" x14ac:dyDescent="0.25">
      <c r="C71" s="122"/>
      <c r="D71" s="26" t="s">
        <v>10</v>
      </c>
      <c r="E71" s="26" t="s">
        <v>12</v>
      </c>
      <c r="F71" s="32">
        <v>1500</v>
      </c>
      <c r="G71" s="33" t="s">
        <v>16</v>
      </c>
      <c r="J71" s="76" t="s">
        <v>525</v>
      </c>
      <c r="K71" s="76"/>
      <c r="M71" s="3">
        <v>0</v>
      </c>
      <c r="N71" s="1" t="s">
        <v>206</v>
      </c>
    </row>
    <row r="72" spans="3:53" x14ac:dyDescent="0.25">
      <c r="C72" s="122"/>
      <c r="E72" s="26" t="s">
        <v>13</v>
      </c>
      <c r="F72" s="32"/>
      <c r="G72" s="33" t="s">
        <v>15</v>
      </c>
      <c r="J72" s="76"/>
      <c r="K72" s="76"/>
    </row>
    <row r="73" spans="3:53" x14ac:dyDescent="0.25">
      <c r="C73" s="122"/>
      <c r="D73" s="26" t="s">
        <v>9</v>
      </c>
      <c r="E73" s="26" t="s">
        <v>12</v>
      </c>
      <c r="F73" s="32">
        <v>1000</v>
      </c>
      <c r="G73" s="33" t="s">
        <v>16</v>
      </c>
      <c r="J73" s="76"/>
      <c r="K73" s="76"/>
      <c r="M73" s="59">
        <f>(2+10)*'Regional splits'!R9+(2+5)*'Regional splits'!R10+2*'Regional splits'!R11+(1+1)*'Regional splits'!R6+2*COUNT('Regional splits'!C5:L5)+3</f>
        <v>13352</v>
      </c>
      <c r="N73" s="1" t="s">
        <v>207</v>
      </c>
    </row>
    <row r="74" spans="3:53" x14ac:dyDescent="0.25">
      <c r="C74" s="122"/>
      <c r="E74" s="26" t="s">
        <v>14</v>
      </c>
      <c r="F74" s="32">
        <v>10</v>
      </c>
      <c r="G74" s="33" t="s">
        <v>15</v>
      </c>
      <c r="J74" s="76" t="s">
        <v>744</v>
      </c>
      <c r="K74" s="76" t="s">
        <v>745</v>
      </c>
    </row>
    <row r="75" spans="3:53" x14ac:dyDescent="0.25">
      <c r="C75" s="122"/>
      <c r="D75" s="26" t="s">
        <v>746</v>
      </c>
      <c r="E75" s="26" t="s">
        <v>12</v>
      </c>
      <c r="F75" s="32">
        <v>1000</v>
      </c>
      <c r="G75" s="33" t="s">
        <v>16</v>
      </c>
      <c r="J75" s="76"/>
      <c r="K75" s="76"/>
      <c r="M75" s="59">
        <f>750*('Regional splits'!R9+'Regional splits'!R10)+125*'Regional splits'!R11+10+10+50*'Regional splits'!R6+100*COUNT('Regional splits'!C5:L5)+25*'Costing inputs'!M66+(200+100)*'Costing inputs'!M102</f>
        <v>1221045</v>
      </c>
      <c r="N75" s="1" t="s">
        <v>208</v>
      </c>
    </row>
    <row r="76" spans="3:53" x14ac:dyDescent="0.25">
      <c r="C76" s="122"/>
      <c r="E76" s="26" t="s">
        <v>14</v>
      </c>
      <c r="F76" s="32">
        <v>2</v>
      </c>
      <c r="G76" s="33" t="s">
        <v>15</v>
      </c>
      <c r="J76" s="76" t="s">
        <v>747</v>
      </c>
      <c r="K76" s="76"/>
    </row>
    <row r="77" spans="3:53" x14ac:dyDescent="0.25">
      <c r="C77" s="122"/>
      <c r="D77" s="26" t="s">
        <v>840</v>
      </c>
      <c r="E77" s="26" t="s">
        <v>11</v>
      </c>
      <c r="F77" s="32">
        <v>10</v>
      </c>
      <c r="G77" s="33" t="s">
        <v>15</v>
      </c>
      <c r="J77" s="76"/>
      <c r="K77" s="76"/>
      <c r="M77" s="3">
        <v>1000</v>
      </c>
      <c r="N77" s="1" t="s">
        <v>841</v>
      </c>
    </row>
    <row r="78" spans="3:53" ht="15.75" thickBot="1" x14ac:dyDescent="0.3">
      <c r="C78" s="123"/>
      <c r="D78" s="26" t="s">
        <v>114</v>
      </c>
      <c r="E78" s="26" t="s">
        <v>192</v>
      </c>
      <c r="F78" s="32">
        <v>40</v>
      </c>
      <c r="G78" s="40" t="s">
        <v>191</v>
      </c>
      <c r="J78" s="76"/>
      <c r="K78" s="76"/>
      <c r="M78" s="3">
        <f>3*7</f>
        <v>21</v>
      </c>
      <c r="N78" s="1" t="s">
        <v>545</v>
      </c>
    </row>
    <row r="79" spans="3:53" ht="15.75" thickBot="1" x14ac:dyDescent="0.3">
      <c r="J79" s="76"/>
      <c r="K79" s="76"/>
      <c r="N79" s="1"/>
    </row>
    <row r="80" spans="3:53" x14ac:dyDescent="0.25">
      <c r="C80" s="127" t="s">
        <v>570</v>
      </c>
      <c r="D80" s="26" t="s">
        <v>19</v>
      </c>
      <c r="F80" s="32">
        <v>270</v>
      </c>
      <c r="G80" s="33" t="s">
        <v>15</v>
      </c>
      <c r="J80" s="76" t="s">
        <v>527</v>
      </c>
      <c r="K80" s="76"/>
      <c r="M80" s="3">
        <v>0</v>
      </c>
      <c r="N80" s="1" t="s">
        <v>188</v>
      </c>
      <c r="S80" s="69">
        <f>(HLOOKUP(M84,$AR$19:$AU$31,$AO$20,FALSE)+ROUNDUP(M85,0)*(HLOOKUP(M84,$AR$19:$AU$31,$AO$22,FALSE)+HLOOKUP(M84,$AR$19:$AU$31,$AO$24,FALSE)+M83*HLOOKUP(M84,$AR$19:$AU$31,$AO$23,FALSE)+(M83+HLOOKUP(M84,$AR$19:$AU$31,$AO$27,FALSE))*HLOOKUP(M84,$AR$19:$AU$31,$AO$25,FALSE))+(M83+HLOOKUP(M84,$AR$19:$AU$31,$AO$28,FALSE))*IF(M85&gt;0.5,HLOOKUP(M84,$AR$19:$AU$31,$AO$30,FALSE),HLOOKUP(M84,$AR$19:$AU$31,$AO$31,FALSE)))*O83+SUMPRODUCT(F80:F82,M80:M82)+M86*F86</f>
        <v>22602.576000000001</v>
      </c>
      <c r="U80" s="3" t="s">
        <v>176</v>
      </c>
      <c r="W80" s="45">
        <f>VLOOKUP($U80,'Regional splits'!$B$15:$R$22,W$5,FALSE)</f>
        <v>0</v>
      </c>
      <c r="X80" s="45">
        <f>VLOOKUP($U80,'Regional splits'!$B$15:$R$22,X$5,FALSE)</f>
        <v>0</v>
      </c>
      <c r="Y80" s="45">
        <f>VLOOKUP($U80,'Regional splits'!$B$15:$R$22,Y$5,FALSE)</f>
        <v>0</v>
      </c>
      <c r="Z80" s="45">
        <f>VLOOKUP($U80,'Regional splits'!$B$15:$R$22,Z$5,FALSE)</f>
        <v>0</v>
      </c>
      <c r="AA80" s="45">
        <f>VLOOKUP($U80,'Regional splits'!$B$15:$R$22,AA$5,FALSE)</f>
        <v>0</v>
      </c>
      <c r="AB80" s="45">
        <f>VLOOKUP($U80,'Regional splits'!$B$15:$R$22,AB$5,FALSE)</f>
        <v>0</v>
      </c>
      <c r="AC80" s="45">
        <f>VLOOKUP($U80,'Regional splits'!$B$15:$R$22,AC$5,FALSE)</f>
        <v>0</v>
      </c>
      <c r="AD80" s="45">
        <f>VLOOKUP($U80,'Regional splits'!$B$15:$R$22,AD$5,FALSE)</f>
        <v>0</v>
      </c>
      <c r="AE80" s="45">
        <f>VLOOKUP($U80,'Regional splits'!$B$15:$R$22,AE$5,FALSE)</f>
        <v>0</v>
      </c>
      <c r="AF80" s="45">
        <f>VLOOKUP($U80,'Regional splits'!$B$15:$R$22,AF$5,FALSE)</f>
        <v>0</v>
      </c>
      <c r="AG80" s="45">
        <f>VLOOKUP($U80,'Regional splits'!$B$15:$R$22,AG$5,FALSE)</f>
        <v>0</v>
      </c>
      <c r="AH80" s="45">
        <f>VLOOKUP($U80,'Regional splits'!$B$15:$R$22,AH$5,FALSE)</f>
        <v>0</v>
      </c>
      <c r="AI80" s="45">
        <f>VLOOKUP($U80,'Regional splits'!$B$15:$R$22,AI$5,FALSE)</f>
        <v>0</v>
      </c>
      <c r="AJ80" s="45">
        <f>VLOOKUP($U80,'Regional splits'!$B$15:$R$22,AJ$5,FALSE)</f>
        <v>0</v>
      </c>
      <c r="AK80" s="45">
        <f>VLOOKUP($U80,'Regional splits'!$B$15:$R$22,AK$5,FALSE)</f>
        <v>0</v>
      </c>
      <c r="AL80" s="45">
        <f>VLOOKUP($U80,'Regional splits'!$B$15:$R$22,AL$5,FALSE)</f>
        <v>1</v>
      </c>
      <c r="AN80" s="3" t="s">
        <v>417</v>
      </c>
      <c r="AP80">
        <f t="shared" ref="AP80:AY80" si="6">IF(ISNUMBER(SEARCH(AP$3,$AN80)),1,0)</f>
        <v>0</v>
      </c>
      <c r="AQ80">
        <f t="shared" si="6"/>
        <v>1</v>
      </c>
      <c r="AR80">
        <f t="shared" si="6"/>
        <v>1</v>
      </c>
      <c r="AS80">
        <f t="shared" si="6"/>
        <v>1</v>
      </c>
      <c r="AT80">
        <f t="shared" si="6"/>
        <v>1</v>
      </c>
      <c r="AU80">
        <f t="shared" si="6"/>
        <v>1</v>
      </c>
      <c r="AV80">
        <f t="shared" si="6"/>
        <v>1</v>
      </c>
      <c r="AW80">
        <f t="shared" si="6"/>
        <v>1</v>
      </c>
      <c r="AX80">
        <f t="shared" si="6"/>
        <v>0</v>
      </c>
      <c r="AY80">
        <f t="shared" si="6"/>
        <v>0</v>
      </c>
      <c r="BA80" s="31">
        <f>S80*COUNTIFS(AP80:AY80,"1",$AP$4:$AY$4,"TRUE")</f>
        <v>158218.03200000001</v>
      </c>
    </row>
    <row r="81" spans="3:53" x14ac:dyDescent="0.25">
      <c r="C81" s="128"/>
      <c r="D81" s="26" t="s">
        <v>113</v>
      </c>
      <c r="E81" s="26" t="s">
        <v>143</v>
      </c>
      <c r="F81" s="32"/>
      <c r="G81" s="33" t="s">
        <v>15</v>
      </c>
      <c r="J81" s="76" t="s">
        <v>527</v>
      </c>
      <c r="K81" s="76"/>
      <c r="M81" s="3">
        <v>0</v>
      </c>
      <c r="N81" s="1" t="s">
        <v>187</v>
      </c>
    </row>
    <row r="82" spans="3:53" x14ac:dyDescent="0.25">
      <c r="C82" s="128"/>
      <c r="D82" s="26" t="s">
        <v>20</v>
      </c>
      <c r="F82" s="32">
        <v>2150</v>
      </c>
      <c r="G82" s="33" t="s">
        <v>180</v>
      </c>
      <c r="J82" s="76" t="s">
        <v>527</v>
      </c>
      <c r="K82" s="76"/>
      <c r="M82" s="3">
        <v>0</v>
      </c>
      <c r="N82" s="1" t="s">
        <v>186</v>
      </c>
    </row>
    <row r="83" spans="3:53" x14ac:dyDescent="0.25">
      <c r="C83" s="128"/>
      <c r="D83" s="26" t="s">
        <v>236</v>
      </c>
      <c r="E83" s="26" t="s">
        <v>241</v>
      </c>
      <c r="F83" s="39" t="s">
        <v>227</v>
      </c>
      <c r="G83" s="33"/>
      <c r="J83" s="76"/>
      <c r="K83" s="76"/>
      <c r="M83" s="3">
        <v>20</v>
      </c>
      <c r="N83" s="1" t="s">
        <v>225</v>
      </c>
      <c r="O83" s="3">
        <v>1</v>
      </c>
      <c r="P83" s="1" t="s">
        <v>229</v>
      </c>
    </row>
    <row r="84" spans="3:53" x14ac:dyDescent="0.25">
      <c r="C84" s="128"/>
      <c r="F84" s="33"/>
      <c r="G84" s="33"/>
      <c r="J84" s="76"/>
      <c r="K84" s="76"/>
      <c r="M84" s="3" t="s">
        <v>50</v>
      </c>
      <c r="N84" s="1" t="s">
        <v>226</v>
      </c>
    </row>
    <row r="85" spans="3:53" x14ac:dyDescent="0.25">
      <c r="C85" s="128"/>
      <c r="F85" s="33"/>
      <c r="G85" s="33"/>
      <c r="J85" s="76"/>
      <c r="K85" s="76"/>
      <c r="M85" s="3">
        <v>1</v>
      </c>
      <c r="N85" s="1" t="s">
        <v>252</v>
      </c>
    </row>
    <row r="86" spans="3:53" ht="15.75" thickBot="1" x14ac:dyDescent="0.3">
      <c r="C86" s="129"/>
      <c r="D86" s="26" t="s">
        <v>542</v>
      </c>
      <c r="F86" s="32">
        <v>250</v>
      </c>
      <c r="G86" s="33" t="s">
        <v>180</v>
      </c>
      <c r="J86" s="76"/>
      <c r="K86" s="76"/>
      <c r="M86" s="3">
        <v>3</v>
      </c>
      <c r="N86" s="1" t="s">
        <v>543</v>
      </c>
    </row>
    <row r="87" spans="3:53" ht="15.75" thickBot="1" x14ac:dyDescent="0.3">
      <c r="J87" s="76"/>
      <c r="K87" s="76"/>
    </row>
    <row r="88" spans="3:53" ht="15" customHeight="1" x14ac:dyDescent="0.25">
      <c r="C88" s="121" t="s">
        <v>569</v>
      </c>
      <c r="D88" s="26" t="s">
        <v>181</v>
      </c>
      <c r="E88" s="26" t="s">
        <v>182</v>
      </c>
      <c r="F88" s="32">
        <v>713</v>
      </c>
      <c r="G88" s="33" t="s">
        <v>201</v>
      </c>
      <c r="J88" s="76" t="s">
        <v>527</v>
      </c>
      <c r="K88" s="76" t="s">
        <v>528</v>
      </c>
      <c r="M88" s="3">
        <v>0</v>
      </c>
      <c r="N88" s="6" t="s">
        <v>214</v>
      </c>
      <c r="O88" s="3"/>
      <c r="P88" s="1" t="s">
        <v>216</v>
      </c>
      <c r="S88" s="27">
        <f>M88*(F88+O88*F90)+M89*(F89+O89*F90)+M91*F91*O91+M92*(F92+F93)</f>
        <v>0</v>
      </c>
      <c r="U88" s="3" t="s">
        <v>176</v>
      </c>
      <c r="W88" s="45">
        <f>VLOOKUP($U88,'Regional splits'!$B$15:$R$22,W$5,FALSE)</f>
        <v>0</v>
      </c>
      <c r="X88" s="45">
        <f>VLOOKUP($U88,'Regional splits'!$B$15:$R$22,X$5,FALSE)</f>
        <v>0</v>
      </c>
      <c r="Y88" s="45">
        <f>VLOOKUP($U88,'Regional splits'!$B$15:$R$22,Y$5,FALSE)</f>
        <v>0</v>
      </c>
      <c r="Z88" s="45">
        <f>VLOOKUP($U88,'Regional splits'!$B$15:$R$22,Z$5,FALSE)</f>
        <v>0</v>
      </c>
      <c r="AA88" s="45">
        <f>VLOOKUP($U88,'Regional splits'!$B$15:$R$22,AA$5,FALSE)</f>
        <v>0</v>
      </c>
      <c r="AB88" s="45">
        <f>VLOOKUP($U88,'Regional splits'!$B$15:$R$22,AB$5,FALSE)</f>
        <v>0</v>
      </c>
      <c r="AC88" s="45">
        <f>VLOOKUP($U88,'Regional splits'!$B$15:$R$22,AC$5,FALSE)</f>
        <v>0</v>
      </c>
      <c r="AD88" s="45">
        <f>VLOOKUP($U88,'Regional splits'!$B$15:$R$22,AD$5,FALSE)</f>
        <v>0</v>
      </c>
      <c r="AE88" s="45">
        <f>VLOOKUP($U88,'Regional splits'!$B$15:$R$22,AE$5,FALSE)</f>
        <v>0</v>
      </c>
      <c r="AF88" s="45">
        <f>VLOOKUP($U88,'Regional splits'!$B$15:$R$22,AF$5,FALSE)</f>
        <v>0</v>
      </c>
      <c r="AG88" s="45">
        <f>VLOOKUP($U88,'Regional splits'!$B$15:$R$22,AG$5,FALSE)</f>
        <v>0</v>
      </c>
      <c r="AH88" s="45">
        <f>VLOOKUP($U88,'Regional splits'!$B$15:$R$22,AH$5,FALSE)</f>
        <v>0</v>
      </c>
      <c r="AI88" s="45">
        <f>VLOOKUP($U88,'Regional splits'!$B$15:$R$22,AI$5,FALSE)</f>
        <v>0</v>
      </c>
      <c r="AJ88" s="45">
        <f>VLOOKUP($U88,'Regional splits'!$B$15:$R$22,AJ$5,FALSE)</f>
        <v>0</v>
      </c>
      <c r="AK88" s="45">
        <f>VLOOKUP($U88,'Regional splits'!$B$15:$R$22,AK$5,FALSE)</f>
        <v>0</v>
      </c>
      <c r="AL88" s="45">
        <f>VLOOKUP($U88,'Regional splits'!$B$15:$R$22,AL$5,FALSE)</f>
        <v>1</v>
      </c>
      <c r="AN88" s="3" t="s">
        <v>222</v>
      </c>
      <c r="AP88">
        <f t="shared" ref="AP88:AY88" si="7">IF(ISNUMBER(SEARCH(AP$3,$AN88)),1,0)</f>
        <v>1</v>
      </c>
      <c r="AQ88">
        <f t="shared" si="7"/>
        <v>1</v>
      </c>
      <c r="AR88">
        <f t="shared" si="7"/>
        <v>1</v>
      </c>
      <c r="AS88">
        <f t="shared" si="7"/>
        <v>1</v>
      </c>
      <c r="AT88">
        <f t="shared" si="7"/>
        <v>1</v>
      </c>
      <c r="AU88">
        <f t="shared" si="7"/>
        <v>1</v>
      </c>
      <c r="AV88">
        <f t="shared" si="7"/>
        <v>1</v>
      </c>
      <c r="AW88">
        <f t="shared" si="7"/>
        <v>1</v>
      </c>
      <c r="AX88">
        <f t="shared" si="7"/>
        <v>0</v>
      </c>
      <c r="AY88">
        <f t="shared" si="7"/>
        <v>0</v>
      </c>
      <c r="BA88" s="31">
        <f>S88*COUNTIFS(AP88:AY88,"1",$AP$4:$AY$4,"TRUE")</f>
        <v>0</v>
      </c>
    </row>
    <row r="89" spans="3:53" x14ac:dyDescent="0.25">
      <c r="C89" s="122"/>
      <c r="E89" s="26" t="s">
        <v>183</v>
      </c>
      <c r="F89" s="32">
        <v>0</v>
      </c>
      <c r="G89" s="33" t="s">
        <v>201</v>
      </c>
      <c r="J89" s="76"/>
      <c r="K89" s="76"/>
      <c r="M89" s="3">
        <v>0</v>
      </c>
      <c r="N89" s="6" t="s">
        <v>215</v>
      </c>
      <c r="O89" s="3"/>
      <c r="P89" s="1" t="s">
        <v>217</v>
      </c>
    </row>
    <row r="90" spans="3:53" x14ac:dyDescent="0.25">
      <c r="C90" s="122"/>
      <c r="D90" s="26" t="s">
        <v>193</v>
      </c>
      <c r="F90" s="32"/>
      <c r="G90" s="40" t="s">
        <v>194</v>
      </c>
      <c r="J90" s="76"/>
      <c r="K90" s="76"/>
    </row>
    <row r="91" spans="3:53" x14ac:dyDescent="0.25">
      <c r="C91" s="122"/>
      <c r="D91" s="26" t="s">
        <v>149</v>
      </c>
      <c r="F91" s="32"/>
      <c r="G91" s="33" t="s">
        <v>150</v>
      </c>
      <c r="J91" s="76" t="s">
        <v>527</v>
      </c>
      <c r="K91" s="76"/>
      <c r="M91" s="3">
        <v>0</v>
      </c>
      <c r="N91" s="6" t="s">
        <v>219</v>
      </c>
      <c r="O91" s="3"/>
      <c r="P91" s="6" t="s">
        <v>218</v>
      </c>
    </row>
    <row r="92" spans="3:53" x14ac:dyDescent="0.25">
      <c r="C92" s="122"/>
      <c r="D92" s="26" t="s">
        <v>151</v>
      </c>
      <c r="E92" s="26" t="s">
        <v>221</v>
      </c>
      <c r="F92" s="32"/>
      <c r="G92" s="33" t="s">
        <v>153</v>
      </c>
      <c r="J92" s="76"/>
      <c r="K92" s="76"/>
      <c r="M92" s="3">
        <v>0</v>
      </c>
      <c r="N92" s="6" t="s">
        <v>220</v>
      </c>
    </row>
    <row r="93" spans="3:53" ht="15.75" thickBot="1" x14ac:dyDescent="0.3">
      <c r="C93" s="123"/>
      <c r="E93" s="26" t="s">
        <v>152</v>
      </c>
      <c r="F93" s="32"/>
      <c r="G93" s="33" t="s">
        <v>122</v>
      </c>
      <c r="J93" s="76"/>
      <c r="K93" s="76"/>
    </row>
    <row r="94" spans="3:53" ht="15.75" thickBot="1" x14ac:dyDescent="0.3">
      <c r="G94" s="33"/>
      <c r="J94" s="76"/>
      <c r="K94" s="76"/>
    </row>
    <row r="95" spans="3:53" x14ac:dyDescent="0.25">
      <c r="C95" s="121" t="s">
        <v>568</v>
      </c>
      <c r="D95" s="26" t="s">
        <v>413</v>
      </c>
      <c r="E95" s="26" t="s">
        <v>69</v>
      </c>
      <c r="F95" s="32">
        <v>40</v>
      </c>
      <c r="G95" s="33"/>
      <c r="J95" s="76" t="s">
        <v>530</v>
      </c>
      <c r="K95" s="76"/>
      <c r="M95" s="3">
        <f>25*'Regional splits'!R6</f>
        <v>1800</v>
      </c>
      <c r="N95" s="1" t="s">
        <v>209</v>
      </c>
      <c r="S95" s="27">
        <f>M102*(SUMPRODUCT(F95:F98,M95:M98)+F99*M99*O99+F100*M100*O100+F101*M101*O101)</f>
        <v>2682600</v>
      </c>
      <c r="U95" s="3" t="s">
        <v>176</v>
      </c>
      <c r="W95" s="45">
        <f>VLOOKUP($U95,'Regional splits'!$B$15:$R$22,W$5,FALSE)</f>
        <v>0</v>
      </c>
      <c r="X95" s="45">
        <f>VLOOKUP($U95,'Regional splits'!$B$15:$R$22,X$5,FALSE)</f>
        <v>0</v>
      </c>
      <c r="Y95" s="45">
        <f>VLOOKUP($U95,'Regional splits'!$B$15:$R$22,Y$5,FALSE)</f>
        <v>0</v>
      </c>
      <c r="Z95" s="45">
        <f>VLOOKUP($U95,'Regional splits'!$B$15:$R$22,Z$5,FALSE)</f>
        <v>0</v>
      </c>
      <c r="AA95" s="45">
        <f>VLOOKUP($U95,'Regional splits'!$B$15:$R$22,AA$5,FALSE)</f>
        <v>0</v>
      </c>
      <c r="AB95" s="45">
        <f>VLOOKUP($U95,'Regional splits'!$B$15:$R$22,AB$5,FALSE)</f>
        <v>0</v>
      </c>
      <c r="AC95" s="45">
        <f>VLOOKUP($U95,'Regional splits'!$B$15:$R$22,AC$5,FALSE)</f>
        <v>0</v>
      </c>
      <c r="AD95" s="45">
        <f>VLOOKUP($U95,'Regional splits'!$B$15:$R$22,AD$5,FALSE)</f>
        <v>0</v>
      </c>
      <c r="AE95" s="45">
        <f>VLOOKUP($U95,'Regional splits'!$B$15:$R$22,AE$5,FALSE)</f>
        <v>0</v>
      </c>
      <c r="AF95" s="45">
        <f>VLOOKUP($U95,'Regional splits'!$B$15:$R$22,AF$5,FALSE)</f>
        <v>0</v>
      </c>
      <c r="AG95" s="45">
        <f>VLOOKUP($U95,'Regional splits'!$B$15:$R$22,AG$5,FALSE)</f>
        <v>0</v>
      </c>
      <c r="AH95" s="45">
        <f>VLOOKUP($U95,'Regional splits'!$B$15:$R$22,AH$5,FALSE)</f>
        <v>0</v>
      </c>
      <c r="AI95" s="45">
        <f>VLOOKUP($U95,'Regional splits'!$B$15:$R$22,AI$5,FALSE)</f>
        <v>0</v>
      </c>
      <c r="AJ95" s="45">
        <f>VLOOKUP($U95,'Regional splits'!$B$15:$R$22,AJ$5,FALSE)</f>
        <v>0</v>
      </c>
      <c r="AK95" s="45">
        <f>VLOOKUP($U95,'Regional splits'!$B$15:$R$22,AK$5,FALSE)</f>
        <v>0</v>
      </c>
      <c r="AL95" s="45">
        <f>VLOOKUP($U95,'Regional splits'!$B$15:$R$22,AL$5,FALSE)</f>
        <v>1</v>
      </c>
      <c r="AN95" s="3" t="s">
        <v>222</v>
      </c>
      <c r="AP95">
        <f t="shared" ref="AP95:AY95" si="8">IF(ISNUMBER(SEARCH(AP$3,$AN95)),1,0)</f>
        <v>1</v>
      </c>
      <c r="AQ95">
        <f t="shared" si="8"/>
        <v>1</v>
      </c>
      <c r="AR95">
        <f t="shared" si="8"/>
        <v>1</v>
      </c>
      <c r="AS95">
        <f t="shared" si="8"/>
        <v>1</v>
      </c>
      <c r="AT95">
        <f t="shared" si="8"/>
        <v>1</v>
      </c>
      <c r="AU95">
        <f t="shared" si="8"/>
        <v>1</v>
      </c>
      <c r="AV95">
        <f t="shared" si="8"/>
        <v>1</v>
      </c>
      <c r="AW95">
        <f t="shared" si="8"/>
        <v>1</v>
      </c>
      <c r="AX95">
        <f t="shared" si="8"/>
        <v>0</v>
      </c>
      <c r="AY95">
        <f t="shared" si="8"/>
        <v>0</v>
      </c>
      <c r="BA95" s="31">
        <f>S95*COUNTIFS(AP95:AY95,"1",$AP$4:$AY$4,"TRUE")</f>
        <v>21460800</v>
      </c>
    </row>
    <row r="96" spans="3:53" x14ac:dyDescent="0.25">
      <c r="C96" s="122"/>
      <c r="E96" s="26" t="s">
        <v>204</v>
      </c>
      <c r="F96" s="32">
        <v>25</v>
      </c>
      <c r="G96" s="33"/>
      <c r="J96" s="76" t="s">
        <v>527</v>
      </c>
      <c r="K96" s="76"/>
      <c r="M96" s="3">
        <v>0</v>
      </c>
      <c r="N96" s="1" t="s">
        <v>210</v>
      </c>
    </row>
    <row r="97" spans="3:53" x14ac:dyDescent="0.25">
      <c r="C97" s="122"/>
      <c r="E97" s="26" t="s">
        <v>71</v>
      </c>
      <c r="F97" s="32">
        <v>50</v>
      </c>
      <c r="G97" s="33"/>
      <c r="H97" s="38"/>
      <c r="J97" s="76" t="s">
        <v>529</v>
      </c>
      <c r="K97" s="76"/>
      <c r="M97" s="3">
        <f>25*'Regional splits'!R6</f>
        <v>1800</v>
      </c>
      <c r="N97" s="1" t="s">
        <v>211</v>
      </c>
    </row>
    <row r="98" spans="3:53" x14ac:dyDescent="0.25">
      <c r="C98" s="122"/>
      <c r="E98" s="26" t="s">
        <v>286</v>
      </c>
      <c r="F98" s="32"/>
      <c r="G98" s="33" t="s">
        <v>287</v>
      </c>
      <c r="H98" s="38"/>
      <c r="J98" s="76"/>
      <c r="K98" s="76"/>
      <c r="M98" s="3">
        <v>0</v>
      </c>
      <c r="N98" s="1" t="s">
        <v>285</v>
      </c>
    </row>
    <row r="99" spans="3:53" x14ac:dyDescent="0.25">
      <c r="C99" s="122"/>
      <c r="E99" s="26" t="s">
        <v>302</v>
      </c>
      <c r="F99" s="32">
        <v>50</v>
      </c>
      <c r="G99" s="33" t="s">
        <v>271</v>
      </c>
      <c r="H99" s="38"/>
      <c r="J99" s="76"/>
      <c r="K99" s="76"/>
      <c r="M99" s="3">
        <f>20*'Regional splits'!R6</f>
        <v>1440</v>
      </c>
      <c r="N99" s="1" t="s">
        <v>272</v>
      </c>
      <c r="O99" s="3">
        <v>3</v>
      </c>
      <c r="P99" s="1" t="s">
        <v>273</v>
      </c>
    </row>
    <row r="100" spans="3:53" x14ac:dyDescent="0.25">
      <c r="C100" s="122"/>
      <c r="E100" s="26" t="s">
        <v>270</v>
      </c>
      <c r="F100" s="32">
        <v>300</v>
      </c>
      <c r="G100" s="33" t="s">
        <v>18</v>
      </c>
      <c r="J100" s="76"/>
      <c r="K100" s="76"/>
      <c r="M100" s="3">
        <f>'Regional splits'!R6</f>
        <v>72</v>
      </c>
      <c r="N100" s="1" t="s">
        <v>212</v>
      </c>
      <c r="O100" s="3">
        <v>3</v>
      </c>
      <c r="P100" s="1" t="s">
        <v>213</v>
      </c>
    </row>
    <row r="101" spans="3:53" x14ac:dyDescent="0.25">
      <c r="C101" s="122"/>
      <c r="E101" s="26" t="s">
        <v>765</v>
      </c>
      <c r="F101" s="32">
        <f>F82</f>
        <v>2150</v>
      </c>
      <c r="G101" s="33"/>
      <c r="J101" s="76"/>
      <c r="K101" s="76"/>
      <c r="M101" s="3">
        <v>2</v>
      </c>
      <c r="N101" s="1" t="s">
        <v>766</v>
      </c>
      <c r="O101" s="3">
        <v>1</v>
      </c>
      <c r="P101" s="1" t="s">
        <v>767</v>
      </c>
    </row>
    <row r="102" spans="3:53" ht="15.75" thickBot="1" x14ac:dyDescent="0.3">
      <c r="C102" s="123"/>
      <c r="D102" s="39" t="s">
        <v>203</v>
      </c>
      <c r="G102" s="33"/>
      <c r="J102" s="76"/>
      <c r="K102" s="76"/>
      <c r="M102" s="3">
        <f>1+1+4</f>
        <v>6</v>
      </c>
      <c r="N102" s="6" t="s">
        <v>205</v>
      </c>
    </row>
    <row r="103" spans="3:53" ht="15.75" thickBot="1" x14ac:dyDescent="0.3">
      <c r="G103" s="33"/>
      <c r="J103" s="76"/>
      <c r="K103" s="76"/>
    </row>
    <row r="104" spans="3:53" ht="15" customHeight="1" x14ac:dyDescent="0.25">
      <c r="C104" s="121" t="s">
        <v>778</v>
      </c>
      <c r="D104" s="26" t="s">
        <v>768</v>
      </c>
      <c r="F104" s="39" t="s">
        <v>227</v>
      </c>
      <c r="G104" s="33"/>
      <c r="J104" s="76"/>
      <c r="K104" s="76"/>
      <c r="M104" s="3">
        <v>5</v>
      </c>
      <c r="N104" s="1" t="s">
        <v>225</v>
      </c>
      <c r="O104" s="3">
        <v>1</v>
      </c>
      <c r="P104" s="1" t="s">
        <v>229</v>
      </c>
      <c r="S104" s="27">
        <f>(HLOOKUP(M105,$AR$19:$AU$31,$AO$20,FALSE)+ROUNDUP(M106,0)*(HLOOKUP(M105,$AR$19:$AU$31,$AO$22,FALSE)+HLOOKUP(M105,$AR$19:$AU$31,$AO$24,FALSE)+M104*HLOOKUP(M105,$AR$19:$AU$31,$AO$23,FALSE)+(M104+HLOOKUP(M105,$AR$19:$AU$31,$AO$27,FALSE))*HLOOKUP(M105,$AR$19:$AU$31,$AO$25,FALSE))+(M104+HLOOKUP(M105,$AR$19:$AU$31,$AO$28,FALSE))*IF(M106&gt;0.5,HLOOKUP(M105,$AR$19:$AU$31,$AO$30,FALSE),HLOOKUP(M105,$AR$19:$AU$31,$AO$31,FALSE)))*O104+(HLOOKUP(M109,$AR$19:$AU$31,$AO$20,FALSE)+ROUNDUP(M110,0)*(HLOOKUP(M109,$AR$19:$AU$31,$AO$22,FALSE)+HLOOKUP(M109,$AR$19:$AU$31,$AO$24,FALSE)+M108*HLOOKUP(M109,$AR$19:$AU$31,$AO$23,FALSE)+(M108+HLOOKUP(M109,$AR$19:$AU$31,$AO$27,FALSE))*HLOOKUP(M109,$AR$19:$AU$31,$AO$25,FALSE))+(M108+HLOOKUP(M109,$AR$19:$AU$31,$AO$28,FALSE))*IF(M110&gt;0.5,HLOOKUP(M109,$AR$19:$AU$31,$AO$30,FALSE),HLOOKUP(M109,$AR$19:$AU$31,$AO$31,FALSE)))*O108</f>
        <v>124979.62400000001</v>
      </c>
      <c r="U104" s="3" t="s">
        <v>176</v>
      </c>
      <c r="W104" s="45">
        <f>VLOOKUP($U104,'Regional splits'!$B$15:$R$22,W$5,FALSE)</f>
        <v>0</v>
      </c>
      <c r="X104" s="45">
        <f>VLOOKUP($U104,'Regional splits'!$B$15:$R$22,X$5,FALSE)</f>
        <v>0</v>
      </c>
      <c r="Y104" s="45">
        <f>VLOOKUP($U104,'Regional splits'!$B$15:$R$22,Y$5,FALSE)</f>
        <v>0</v>
      </c>
      <c r="Z104" s="45">
        <f>VLOOKUP($U104,'Regional splits'!$B$15:$R$22,Z$5,FALSE)</f>
        <v>0</v>
      </c>
      <c r="AA104" s="45">
        <f>VLOOKUP($U104,'Regional splits'!$B$15:$R$22,AA$5,FALSE)</f>
        <v>0</v>
      </c>
      <c r="AB104" s="45">
        <f>VLOOKUP($U104,'Regional splits'!$B$15:$R$22,AB$5,FALSE)</f>
        <v>0</v>
      </c>
      <c r="AC104" s="45">
        <f>VLOOKUP($U104,'Regional splits'!$B$15:$R$22,AC$5,FALSE)</f>
        <v>0</v>
      </c>
      <c r="AD104" s="45">
        <f>VLOOKUP($U104,'Regional splits'!$B$15:$R$22,AD$5,FALSE)</f>
        <v>0</v>
      </c>
      <c r="AE104" s="45">
        <f>VLOOKUP($U104,'Regional splits'!$B$15:$R$22,AE$5,FALSE)</f>
        <v>0</v>
      </c>
      <c r="AF104" s="45">
        <f>VLOOKUP($U104,'Regional splits'!$B$15:$R$22,AF$5,FALSE)</f>
        <v>0</v>
      </c>
      <c r="AG104" s="45">
        <f>VLOOKUP($U104,'Regional splits'!$B$15:$R$22,AG$5,FALSE)</f>
        <v>0</v>
      </c>
      <c r="AH104" s="45">
        <f>VLOOKUP($U104,'Regional splits'!$B$15:$R$22,AH$5,FALSE)</f>
        <v>0</v>
      </c>
      <c r="AI104" s="45">
        <f>VLOOKUP($U104,'Regional splits'!$B$15:$R$22,AI$5,FALSE)</f>
        <v>0</v>
      </c>
      <c r="AJ104" s="45">
        <f>VLOOKUP($U104,'Regional splits'!$B$15:$R$22,AJ$5,FALSE)</f>
        <v>0</v>
      </c>
      <c r="AK104" s="45">
        <f>VLOOKUP($U104,'Regional splits'!$B$15:$R$22,AK$5,FALSE)</f>
        <v>0</v>
      </c>
      <c r="AL104" s="45">
        <f>VLOOKUP($U104,'Regional splits'!$B$15:$R$22,AL$5,FALSE)</f>
        <v>1</v>
      </c>
      <c r="AN104" s="3" t="s">
        <v>773</v>
      </c>
      <c r="AP104">
        <f t="shared" ref="AP104:AY104" si="9">IF(ISNUMBER(SEARCH(AP$3,$AN104)),1,0)</f>
        <v>1</v>
      </c>
      <c r="AQ104">
        <f t="shared" si="9"/>
        <v>0</v>
      </c>
      <c r="AR104">
        <f t="shared" si="9"/>
        <v>0</v>
      </c>
      <c r="AS104">
        <f t="shared" si="9"/>
        <v>1</v>
      </c>
      <c r="AT104">
        <f t="shared" si="9"/>
        <v>0</v>
      </c>
      <c r="AU104">
        <f t="shared" si="9"/>
        <v>0</v>
      </c>
      <c r="AV104">
        <f t="shared" si="9"/>
        <v>1</v>
      </c>
      <c r="AW104">
        <f t="shared" si="9"/>
        <v>0</v>
      </c>
      <c r="AX104">
        <f t="shared" si="9"/>
        <v>0</v>
      </c>
      <c r="AY104">
        <f t="shared" si="9"/>
        <v>0</v>
      </c>
      <c r="BA104" s="31">
        <f>S104*COUNTIFS(AP104:AY104,"1",$AP$4:$AY$4,"TRUE")</f>
        <v>374938.87200000003</v>
      </c>
    </row>
    <row r="105" spans="3:53" x14ac:dyDescent="0.25">
      <c r="C105" s="122"/>
      <c r="G105" s="33"/>
      <c r="J105" s="76"/>
      <c r="K105" s="76"/>
      <c r="M105" s="3" t="s">
        <v>47</v>
      </c>
      <c r="N105" s="1" t="s">
        <v>226</v>
      </c>
    </row>
    <row r="106" spans="3:53" ht="15.75" thickBot="1" x14ac:dyDescent="0.3">
      <c r="C106" s="123"/>
      <c r="G106" s="33"/>
      <c r="J106" s="76"/>
      <c r="K106" s="76"/>
      <c r="M106" s="3">
        <v>0.5</v>
      </c>
      <c r="N106" s="1" t="s">
        <v>252</v>
      </c>
    </row>
    <row r="107" spans="3:53" ht="15.75" thickBot="1" x14ac:dyDescent="0.3">
      <c r="C107" s="26"/>
      <c r="G107" s="33"/>
      <c r="J107" s="76"/>
      <c r="K107" s="76"/>
      <c r="L107" s="26"/>
      <c r="M107" s="26"/>
      <c r="N107" s="1"/>
    </row>
    <row r="108" spans="3:53" x14ac:dyDescent="0.25">
      <c r="C108" s="121" t="s">
        <v>779</v>
      </c>
      <c r="D108" s="26" t="s">
        <v>769</v>
      </c>
      <c r="F108" s="39" t="s">
        <v>227</v>
      </c>
      <c r="G108" s="33"/>
      <c r="J108" s="76"/>
      <c r="K108" s="76"/>
      <c r="M108" s="3">
        <v>20</v>
      </c>
      <c r="N108" s="1" t="s">
        <v>225</v>
      </c>
      <c r="O108" s="3">
        <v>5</v>
      </c>
      <c r="P108" s="1" t="s">
        <v>229</v>
      </c>
      <c r="S108" s="27">
        <f>(HLOOKUP(M109,$AR$19:$AU$31,$AO$20,FALSE)+ROUNDUP(M110,0)*(HLOOKUP(M109,$AR$19:$AU$31,$AO$22,FALSE)+HLOOKUP(M109,$AR$19:$AU$31,$AO$24,FALSE)+M108*HLOOKUP(M109,$AR$19:$AU$31,$AO$23,FALSE)+(M108+HLOOKUP(M109,$AR$19:$AU$31,$AO$27,FALSE))*HLOOKUP(M109,$AR$19:$AU$31,$AO$25,FALSE))+(M108+HLOOKUP(M109,$AR$19:$AU$31,$AO$28,FALSE))*IF(M110&gt;0.5,HLOOKUP(M109,$AR$19:$AU$31,$AO$30,FALSE),HLOOKUP(M109,$AR$19:$AU$31,$AO$31,FALSE)))*O108</f>
        <v>109262.88</v>
      </c>
      <c r="U108" s="3" t="s">
        <v>177</v>
      </c>
      <c r="W108" s="45">
        <f>VLOOKUP($U108,'Regional splits'!$B$15:$R$22,W$5,FALSE)</f>
        <v>0.1</v>
      </c>
      <c r="X108" s="45">
        <f>VLOOKUP($U108,'Regional splits'!$B$15:$R$22,X$5,FALSE)</f>
        <v>0.1</v>
      </c>
      <c r="Y108" s="45">
        <f>VLOOKUP($U108,'Regional splits'!$B$15:$R$22,Y$5,FALSE)</f>
        <v>0.1</v>
      </c>
      <c r="Z108" s="45">
        <f>VLOOKUP($U108,'Regional splits'!$B$15:$R$22,Z$5,FALSE)</f>
        <v>0.1</v>
      </c>
      <c r="AA108" s="45">
        <f>VLOOKUP($U108,'Regional splits'!$B$15:$R$22,AA$5,FALSE)</f>
        <v>0.1</v>
      </c>
      <c r="AB108" s="45">
        <f>VLOOKUP($U108,'Regional splits'!$B$15:$R$22,AB$5,FALSE)</f>
        <v>0.1</v>
      </c>
      <c r="AC108" s="45">
        <f>VLOOKUP($U108,'Regional splits'!$B$15:$R$22,AC$5,FALSE)</f>
        <v>0.1</v>
      </c>
      <c r="AD108" s="45">
        <f>VLOOKUP($U108,'Regional splits'!$B$15:$R$22,AD$5,FALSE)</f>
        <v>0.1</v>
      </c>
      <c r="AE108" s="45">
        <f>VLOOKUP($U108,'Regional splits'!$B$15:$R$22,AE$5,FALSE)</f>
        <v>0.1</v>
      </c>
      <c r="AF108" s="45">
        <f>VLOOKUP($U108,'Regional splits'!$B$15:$R$22,AF$5,FALSE)</f>
        <v>0.1</v>
      </c>
      <c r="AG108" s="45">
        <f>VLOOKUP($U108,'Regional splits'!$B$15:$R$22,AG$5,FALSE)</f>
        <v>0</v>
      </c>
      <c r="AH108" s="45">
        <f>VLOOKUP($U108,'Regional splits'!$B$15:$R$22,AH$5,FALSE)</f>
        <v>0</v>
      </c>
      <c r="AI108" s="45">
        <f>VLOOKUP($U108,'Regional splits'!$B$15:$R$22,AI$5,FALSE)</f>
        <v>0</v>
      </c>
      <c r="AJ108" s="45">
        <f>VLOOKUP($U108,'Regional splits'!$B$15:$R$22,AJ$5,FALSE)</f>
        <v>0</v>
      </c>
      <c r="AK108" s="45">
        <f>VLOOKUP($U108,'Regional splits'!$B$15:$R$22,AK$5,FALSE)</f>
        <v>0</v>
      </c>
      <c r="AL108" s="45">
        <f>VLOOKUP($U108,'Regional splits'!$B$15:$R$22,AL$5,FALSE)</f>
        <v>0</v>
      </c>
      <c r="AN108" s="3" t="s">
        <v>546</v>
      </c>
      <c r="AP108">
        <f t="shared" ref="AP108:AY108" si="10">IF(ISNUMBER(SEARCH(AP$3,$AN108)),1,0)</f>
        <v>0</v>
      </c>
      <c r="AQ108">
        <f t="shared" si="10"/>
        <v>1</v>
      </c>
      <c r="AR108">
        <f t="shared" si="10"/>
        <v>1</v>
      </c>
      <c r="AS108">
        <f t="shared" si="10"/>
        <v>1</v>
      </c>
      <c r="AT108">
        <f t="shared" si="10"/>
        <v>0</v>
      </c>
      <c r="AU108">
        <f t="shared" si="10"/>
        <v>0</v>
      </c>
      <c r="AV108">
        <f t="shared" si="10"/>
        <v>0</v>
      </c>
      <c r="AW108">
        <f t="shared" si="10"/>
        <v>0</v>
      </c>
      <c r="AX108">
        <f t="shared" si="10"/>
        <v>0</v>
      </c>
      <c r="AY108">
        <f t="shared" si="10"/>
        <v>0</v>
      </c>
      <c r="BA108" s="31">
        <f>S108*COUNTIFS(AP108:AY108,"1",$AP$4:$AY$4,"TRUE")</f>
        <v>327788.64</v>
      </c>
    </row>
    <row r="109" spans="3:53" x14ac:dyDescent="0.25">
      <c r="C109" s="122"/>
      <c r="G109" s="33"/>
      <c r="J109" s="76"/>
      <c r="K109" s="76"/>
      <c r="M109" s="3" t="s">
        <v>50</v>
      </c>
      <c r="N109" s="1" t="s">
        <v>226</v>
      </c>
    </row>
    <row r="110" spans="3:53" ht="15.75" thickBot="1" x14ac:dyDescent="0.3">
      <c r="C110" s="123"/>
      <c r="G110" s="33"/>
      <c r="J110" s="76"/>
      <c r="K110" s="76"/>
      <c r="M110" s="3">
        <v>1</v>
      </c>
      <c r="N110" s="1" t="s">
        <v>252</v>
      </c>
    </row>
    <row r="111" spans="3:53" ht="15.75" thickBot="1" x14ac:dyDescent="0.3">
      <c r="E111"/>
      <c r="F111"/>
      <c r="G111"/>
      <c r="H111"/>
      <c r="I111"/>
      <c r="J111" s="12"/>
      <c r="K111" s="12"/>
      <c r="S111"/>
      <c r="BA111"/>
    </row>
    <row r="112" spans="3:53" ht="45.75" customHeight="1" x14ac:dyDescent="0.25">
      <c r="C112" s="121" t="s">
        <v>772</v>
      </c>
      <c r="D112" s="26" t="s">
        <v>770</v>
      </c>
      <c r="E112" s="26" t="s">
        <v>771</v>
      </c>
      <c r="F112" s="32">
        <v>1000</v>
      </c>
      <c r="J112" s="76" t="s">
        <v>774</v>
      </c>
      <c r="K112" s="76"/>
      <c r="M112" s="5">
        <f>M104</f>
        <v>5</v>
      </c>
      <c r="N112" s="6" t="s">
        <v>776</v>
      </c>
      <c r="S112" s="27">
        <f>F112*M112+F113*M113</f>
        <v>55000</v>
      </c>
      <c r="U112" s="3" t="s">
        <v>176</v>
      </c>
      <c r="W112" s="45">
        <f>VLOOKUP($U112,'Regional splits'!$B$15:$R$22,W$5,FALSE)</f>
        <v>0</v>
      </c>
      <c r="X112" s="45">
        <f>VLOOKUP($U112,'Regional splits'!$B$15:$R$22,X$5,FALSE)</f>
        <v>0</v>
      </c>
      <c r="Y112" s="45">
        <f>VLOOKUP($U112,'Regional splits'!$B$15:$R$22,Y$5,FALSE)</f>
        <v>0</v>
      </c>
      <c r="Z112" s="45">
        <f>VLOOKUP($U112,'Regional splits'!$B$15:$R$22,Z$5,FALSE)</f>
        <v>0</v>
      </c>
      <c r="AA112" s="45">
        <f>VLOOKUP($U112,'Regional splits'!$B$15:$R$22,AA$5,FALSE)</f>
        <v>0</v>
      </c>
      <c r="AB112" s="45">
        <f>VLOOKUP($U112,'Regional splits'!$B$15:$R$22,AB$5,FALSE)</f>
        <v>0</v>
      </c>
      <c r="AC112" s="45">
        <f>VLOOKUP($U112,'Regional splits'!$B$15:$R$22,AC$5,FALSE)</f>
        <v>0</v>
      </c>
      <c r="AD112" s="45">
        <f>VLOOKUP($U112,'Regional splits'!$B$15:$R$22,AD$5,FALSE)</f>
        <v>0</v>
      </c>
      <c r="AE112" s="45">
        <f>VLOOKUP($U112,'Regional splits'!$B$15:$R$22,AE$5,FALSE)</f>
        <v>0</v>
      </c>
      <c r="AF112" s="45">
        <f>VLOOKUP($U112,'Regional splits'!$B$15:$R$22,AF$5,FALSE)</f>
        <v>0</v>
      </c>
      <c r="AG112" s="45">
        <f>VLOOKUP($U112,'Regional splits'!$B$15:$R$22,AG$5,FALSE)</f>
        <v>0</v>
      </c>
      <c r="AH112" s="45">
        <f>VLOOKUP($U112,'Regional splits'!$B$15:$R$22,AH$5,FALSE)</f>
        <v>0</v>
      </c>
      <c r="AI112" s="45">
        <f>VLOOKUP($U112,'Regional splits'!$B$15:$R$22,AI$5,FALSE)</f>
        <v>0</v>
      </c>
      <c r="AJ112" s="45">
        <f>VLOOKUP($U112,'Regional splits'!$B$15:$R$22,AJ$5,FALSE)</f>
        <v>0</v>
      </c>
      <c r="AK112" s="45">
        <f>VLOOKUP($U112,'Regional splits'!$B$15:$R$22,AK$5,FALSE)</f>
        <v>0</v>
      </c>
      <c r="AL112" s="45">
        <f>VLOOKUP($U112,'Regional splits'!$B$15:$R$22,AL$5,FALSE)</f>
        <v>1</v>
      </c>
      <c r="AN112" s="3" t="s">
        <v>222</v>
      </c>
      <c r="AP112">
        <f t="shared" ref="AP112:AY112" si="11">IF(ISNUMBER(SEARCH(AP$3,$AN112)),1,0)</f>
        <v>1</v>
      </c>
      <c r="AQ112">
        <f t="shared" si="11"/>
        <v>1</v>
      </c>
      <c r="AR112">
        <f t="shared" si="11"/>
        <v>1</v>
      </c>
      <c r="AS112">
        <f t="shared" si="11"/>
        <v>1</v>
      </c>
      <c r="AT112">
        <f t="shared" si="11"/>
        <v>1</v>
      </c>
      <c r="AU112">
        <f t="shared" si="11"/>
        <v>1</v>
      </c>
      <c r="AV112">
        <f t="shared" si="11"/>
        <v>1</v>
      </c>
      <c r="AW112">
        <f t="shared" si="11"/>
        <v>1</v>
      </c>
      <c r="AX112">
        <f t="shared" si="11"/>
        <v>0</v>
      </c>
      <c r="AY112">
        <f t="shared" si="11"/>
        <v>0</v>
      </c>
      <c r="BA112" s="31">
        <f>S112*COUNTIFS(AP112:AY112,"1",$AP$4:$AY$4,"TRUE")</f>
        <v>440000</v>
      </c>
    </row>
    <row r="113" spans="2:53" ht="15.75" thickBot="1" x14ac:dyDescent="0.3">
      <c r="C113" s="123"/>
      <c r="D113" s="26" t="s">
        <v>775</v>
      </c>
      <c r="E113" s="26" t="s">
        <v>771</v>
      </c>
      <c r="F113" s="32">
        <v>500</v>
      </c>
      <c r="J113" s="76"/>
      <c r="K113" s="76"/>
      <c r="M113" s="5">
        <f>M108*O108</f>
        <v>100</v>
      </c>
      <c r="N113" s="6" t="s">
        <v>777</v>
      </c>
      <c r="S113"/>
      <c r="W113" s="84"/>
      <c r="X113" s="84"/>
      <c r="Y113" s="84"/>
      <c r="Z113" s="84"/>
      <c r="AA113" s="84"/>
      <c r="AB113" s="84"/>
      <c r="AC113" s="84"/>
      <c r="AD113" s="84"/>
      <c r="AE113" s="84"/>
      <c r="AF113" s="84"/>
      <c r="AG113" s="84"/>
      <c r="AH113" s="84"/>
      <c r="AI113" s="84"/>
      <c r="AJ113" s="84"/>
      <c r="AK113" s="84"/>
      <c r="AL113" s="84"/>
      <c r="BA113"/>
    </row>
    <row r="114" spans="2:53" ht="15.75" thickBot="1" x14ac:dyDescent="0.3">
      <c r="G114" s="33"/>
      <c r="J114" s="76"/>
      <c r="K114" s="76"/>
    </row>
    <row r="115" spans="2:53" ht="15" customHeight="1" x14ac:dyDescent="0.25">
      <c r="C115" s="121" t="s">
        <v>571</v>
      </c>
      <c r="D115" s="26" t="s">
        <v>228</v>
      </c>
      <c r="F115" s="39" t="s">
        <v>227</v>
      </c>
      <c r="G115" s="33"/>
      <c r="J115" s="76"/>
      <c r="K115" s="76"/>
      <c r="M115" s="3">
        <v>0</v>
      </c>
      <c r="N115" s="1" t="s">
        <v>225</v>
      </c>
      <c r="O115" s="3"/>
      <c r="P115" s="1" t="s">
        <v>229</v>
      </c>
      <c r="S115" s="27">
        <f>(HLOOKUP(M116,$AR$19:$AU$31,$AO$20,FALSE)+ROUNDUP(M117,0)*(HLOOKUP(M116,$AR$19:$AU$31,$AO$22,FALSE)+HLOOKUP(M116,$AR$19:$AU$31,$AO$24,FALSE)+M115*HLOOKUP(M116,$AR$19:$AU$31,$AO$23,FALSE)+(M115+HLOOKUP(M116,$AR$19:$AU$31,$AO$27,FALSE))*HLOOKUP(M116,$AR$19:$AU$31,$AO$25,FALSE))+(M115+HLOOKUP(M116,$AR$19:$AU$31,$AO$28,FALSE))*IF(M117&gt;0.5,HLOOKUP(M116,$AR$19:$AU$31,$AO$30,FALSE),HLOOKUP(M116,$AR$19:$AU$31,$AO$31,FALSE)))*O115+F118*M118</f>
        <v>0</v>
      </c>
      <c r="U115" s="3" t="s">
        <v>176</v>
      </c>
      <c r="W115" s="45">
        <f>VLOOKUP($U115,'Regional splits'!$B$15:$R$22,W$5,FALSE)</f>
        <v>0</v>
      </c>
      <c r="X115" s="45">
        <f>VLOOKUP($U115,'Regional splits'!$B$15:$R$22,X$5,FALSE)</f>
        <v>0</v>
      </c>
      <c r="Y115" s="45">
        <f>VLOOKUP($U115,'Regional splits'!$B$15:$R$22,Y$5,FALSE)</f>
        <v>0</v>
      </c>
      <c r="Z115" s="45">
        <f>VLOOKUP($U115,'Regional splits'!$B$15:$R$22,Z$5,FALSE)</f>
        <v>0</v>
      </c>
      <c r="AA115" s="45">
        <f>VLOOKUP($U115,'Regional splits'!$B$15:$R$22,AA$5,FALSE)</f>
        <v>0</v>
      </c>
      <c r="AB115" s="45">
        <f>VLOOKUP($U115,'Regional splits'!$B$15:$R$22,AB$5,FALSE)</f>
        <v>0</v>
      </c>
      <c r="AC115" s="45">
        <f>VLOOKUP($U115,'Regional splits'!$B$15:$R$22,AC$5,FALSE)</f>
        <v>0</v>
      </c>
      <c r="AD115" s="45">
        <f>VLOOKUP($U115,'Regional splits'!$B$15:$R$22,AD$5,FALSE)</f>
        <v>0</v>
      </c>
      <c r="AE115" s="45">
        <f>VLOOKUP($U115,'Regional splits'!$B$15:$R$22,AE$5,FALSE)</f>
        <v>0</v>
      </c>
      <c r="AF115" s="45">
        <f>VLOOKUP($U115,'Regional splits'!$B$15:$R$22,AF$5,FALSE)</f>
        <v>0</v>
      </c>
      <c r="AG115" s="45">
        <f>VLOOKUP($U115,'Regional splits'!$B$15:$R$22,AG$5,FALSE)</f>
        <v>0</v>
      </c>
      <c r="AH115" s="45">
        <f>VLOOKUP($U115,'Regional splits'!$B$15:$R$22,AH$5,FALSE)</f>
        <v>0</v>
      </c>
      <c r="AI115" s="45">
        <f>VLOOKUP($U115,'Regional splits'!$B$15:$R$22,AI$5,FALSE)</f>
        <v>0</v>
      </c>
      <c r="AJ115" s="45">
        <f>VLOOKUP($U115,'Regional splits'!$B$15:$R$22,AJ$5,FALSE)</f>
        <v>0</v>
      </c>
      <c r="AK115" s="45">
        <f>VLOOKUP($U115,'Regional splits'!$B$15:$R$22,AK$5,FALSE)</f>
        <v>0</v>
      </c>
      <c r="AL115" s="45">
        <f>VLOOKUP($U115,'Regional splits'!$B$15:$R$22,AL$5,FALSE)</f>
        <v>1</v>
      </c>
      <c r="AN115" s="3">
        <v>2014</v>
      </c>
      <c r="AP115">
        <f t="shared" ref="AP115:AY115" si="12">IF(ISNUMBER(SEARCH(AP$3,$AN115)),1,0)</f>
        <v>0</v>
      </c>
      <c r="AQ115">
        <f t="shared" si="12"/>
        <v>1</v>
      </c>
      <c r="AR115">
        <f t="shared" si="12"/>
        <v>0</v>
      </c>
      <c r="AS115">
        <f t="shared" si="12"/>
        <v>0</v>
      </c>
      <c r="AT115">
        <f t="shared" si="12"/>
        <v>0</v>
      </c>
      <c r="AU115">
        <f t="shared" si="12"/>
        <v>0</v>
      </c>
      <c r="AV115">
        <f t="shared" si="12"/>
        <v>0</v>
      </c>
      <c r="AW115">
        <f t="shared" si="12"/>
        <v>0</v>
      </c>
      <c r="AX115">
        <f t="shared" si="12"/>
        <v>0</v>
      </c>
      <c r="AY115">
        <f t="shared" si="12"/>
        <v>0</v>
      </c>
      <c r="BA115" s="31">
        <f>S115*COUNTIFS(AP115:AY115,"1",$AP$4:$AY$4,"TRUE")</f>
        <v>0</v>
      </c>
    </row>
    <row r="116" spans="2:53" x14ac:dyDescent="0.25">
      <c r="C116" s="122"/>
      <c r="G116" s="33"/>
      <c r="J116" s="76"/>
      <c r="K116" s="76"/>
      <c r="M116" s="3" t="s">
        <v>50</v>
      </c>
      <c r="N116" s="1" t="s">
        <v>226</v>
      </c>
    </row>
    <row r="117" spans="2:53" x14ac:dyDescent="0.25">
      <c r="C117" s="122"/>
      <c r="G117" s="33"/>
      <c r="J117" s="76"/>
      <c r="K117" s="76"/>
      <c r="M117" s="3"/>
      <c r="N117" s="1" t="s">
        <v>252</v>
      </c>
    </row>
    <row r="118" spans="2:53" ht="33" customHeight="1" thickBot="1" x14ac:dyDescent="0.3">
      <c r="C118" s="123"/>
      <c r="D118" s="26" t="s">
        <v>274</v>
      </c>
      <c r="E118" s="26" t="s">
        <v>11</v>
      </c>
      <c r="F118" s="32">
        <v>75</v>
      </c>
      <c r="G118" s="33" t="s">
        <v>276</v>
      </c>
      <c r="J118" s="76" t="s">
        <v>750</v>
      </c>
      <c r="K118" s="76"/>
      <c r="M118" s="3">
        <v>0</v>
      </c>
      <c r="N118" s="1" t="s">
        <v>275</v>
      </c>
    </row>
    <row r="119" spans="2:53" ht="15.75" thickBot="1" x14ac:dyDescent="0.3">
      <c r="D119"/>
      <c r="E119"/>
      <c r="F119"/>
      <c r="G119"/>
      <c r="H119"/>
      <c r="I119"/>
      <c r="J119" s="12"/>
      <c r="K119" s="12"/>
      <c r="S119"/>
      <c r="BA119"/>
    </row>
    <row r="120" spans="2:53" x14ac:dyDescent="0.25">
      <c r="C120" s="121" t="s">
        <v>572</v>
      </c>
      <c r="D120" s="26" t="s">
        <v>233</v>
      </c>
      <c r="E120" s="26" t="s">
        <v>231</v>
      </c>
      <c r="F120" s="39" t="s">
        <v>227</v>
      </c>
      <c r="G120" s="33"/>
      <c r="J120" s="76"/>
      <c r="K120" s="76"/>
      <c r="M120" s="3"/>
      <c r="N120" s="1" t="s">
        <v>225</v>
      </c>
      <c r="O120" s="3"/>
      <c r="P120" s="1" t="s">
        <v>229</v>
      </c>
      <c r="S120" s="27">
        <f>(HLOOKUP(M121,$AR$19:$AU$31,$AO$20,FALSE)+ROUNDUP(M122,0)*(HLOOKUP(M121,$AR$19:$AU$31,$AO$22,FALSE)+HLOOKUP(M121,$AR$19:$AU$31,$AO$24,FALSE)+M120*HLOOKUP(M121,$AR$19:$AU$31,$AO$23,FALSE)+(M120+HLOOKUP(M121,$AR$19:$AU$31,$AO$27,FALSE))*HLOOKUP(M121,$AR$19:$AU$31,$AO$25,FALSE))+(M120+HLOOKUP(M121,$AR$19:$AU$31,$AO$28,FALSE))*IF(M122&gt;0.5,HLOOKUP(M121,$AR$19:$AU$31,$AO$30,FALSE),HLOOKUP(M121,$AR$19:$AU$31,$AO$31,FALSE)))*O120+F123*M120*O120</f>
        <v>0</v>
      </c>
      <c r="U120" s="3" t="s">
        <v>176</v>
      </c>
      <c r="W120" s="45">
        <f>VLOOKUP($U120,'Regional splits'!$B$15:$R$22,W$5,FALSE)</f>
        <v>0</v>
      </c>
      <c r="X120" s="45">
        <f>VLOOKUP($U120,'Regional splits'!$B$15:$R$22,X$5,FALSE)</f>
        <v>0</v>
      </c>
      <c r="Y120" s="45">
        <f>VLOOKUP($U120,'Regional splits'!$B$15:$R$22,Y$5,FALSE)</f>
        <v>0</v>
      </c>
      <c r="Z120" s="45">
        <f>VLOOKUP($U120,'Regional splits'!$B$15:$R$22,Z$5,FALSE)</f>
        <v>0</v>
      </c>
      <c r="AA120" s="45">
        <f>VLOOKUP($U120,'Regional splits'!$B$15:$R$22,AA$5,FALSE)</f>
        <v>0</v>
      </c>
      <c r="AB120" s="45">
        <f>VLOOKUP($U120,'Regional splits'!$B$15:$R$22,AB$5,FALSE)</f>
        <v>0</v>
      </c>
      <c r="AC120" s="45">
        <f>VLOOKUP($U120,'Regional splits'!$B$15:$R$22,AC$5,FALSE)</f>
        <v>0</v>
      </c>
      <c r="AD120" s="45">
        <f>VLOOKUP($U120,'Regional splits'!$B$15:$R$22,AD$5,FALSE)</f>
        <v>0</v>
      </c>
      <c r="AE120" s="45">
        <f>VLOOKUP($U120,'Regional splits'!$B$15:$R$22,AE$5,FALSE)</f>
        <v>0</v>
      </c>
      <c r="AF120" s="45">
        <f>VLOOKUP($U120,'Regional splits'!$B$15:$R$22,AF$5,FALSE)</f>
        <v>0</v>
      </c>
      <c r="AG120" s="45">
        <f>VLOOKUP($U120,'Regional splits'!$B$15:$R$22,AG$5,FALSE)</f>
        <v>0</v>
      </c>
      <c r="AH120" s="45">
        <f>VLOOKUP($U120,'Regional splits'!$B$15:$R$22,AH$5,FALSE)</f>
        <v>0</v>
      </c>
      <c r="AI120" s="45">
        <f>VLOOKUP($U120,'Regional splits'!$B$15:$R$22,AI$5,FALSE)</f>
        <v>0</v>
      </c>
      <c r="AJ120" s="45">
        <f>VLOOKUP($U120,'Regional splits'!$B$15:$R$22,AJ$5,FALSE)</f>
        <v>0</v>
      </c>
      <c r="AK120" s="45">
        <f>VLOOKUP($U120,'Regional splits'!$B$15:$R$22,AK$5,FALSE)</f>
        <v>0</v>
      </c>
      <c r="AL120" s="45">
        <f>VLOOKUP($U120,'Regional splits'!$B$15:$R$22,AL$5,FALSE)</f>
        <v>1</v>
      </c>
      <c r="AN120" s="3">
        <v>2014</v>
      </c>
      <c r="AP120">
        <f t="shared" ref="AP120:AY120" si="13">IF(ISNUMBER(SEARCH(AP$3,$AN120)),1,0)</f>
        <v>0</v>
      </c>
      <c r="AQ120">
        <f t="shared" si="13"/>
        <v>1</v>
      </c>
      <c r="AR120">
        <f t="shared" si="13"/>
        <v>0</v>
      </c>
      <c r="AS120">
        <f t="shared" si="13"/>
        <v>0</v>
      </c>
      <c r="AT120">
        <f t="shared" si="13"/>
        <v>0</v>
      </c>
      <c r="AU120">
        <f t="shared" si="13"/>
        <v>0</v>
      </c>
      <c r="AV120">
        <f t="shared" si="13"/>
        <v>0</v>
      </c>
      <c r="AW120">
        <f t="shared" si="13"/>
        <v>0</v>
      </c>
      <c r="AX120">
        <f t="shared" si="13"/>
        <v>0</v>
      </c>
      <c r="AY120">
        <f t="shared" si="13"/>
        <v>0</v>
      </c>
      <c r="BA120" s="31">
        <f>S120*COUNTIFS(AP120:AY120,"1",$AP$4:$AY$4,"TRUE")</f>
        <v>0</v>
      </c>
    </row>
    <row r="121" spans="2:53" x14ac:dyDescent="0.25">
      <c r="C121" s="122"/>
      <c r="G121" s="33"/>
      <c r="J121" s="76"/>
      <c r="K121" s="76"/>
      <c r="M121" s="3" t="s">
        <v>50</v>
      </c>
      <c r="N121" s="1" t="s">
        <v>226</v>
      </c>
    </row>
    <row r="122" spans="2:53" x14ac:dyDescent="0.25">
      <c r="C122" s="122"/>
      <c r="G122" s="33"/>
      <c r="J122" s="76"/>
      <c r="K122" s="76"/>
      <c r="M122" s="3">
        <v>0</v>
      </c>
      <c r="N122" s="1" t="s">
        <v>252</v>
      </c>
    </row>
    <row r="123" spans="2:53" ht="15.75" thickBot="1" x14ac:dyDescent="0.3">
      <c r="C123" s="123"/>
      <c r="E123" s="26" t="s">
        <v>230</v>
      </c>
      <c r="F123" s="32">
        <v>0</v>
      </c>
      <c r="G123" s="33"/>
      <c r="J123" s="76"/>
      <c r="K123" s="76"/>
    </row>
    <row r="124" spans="2:53" ht="15.75" thickBot="1" x14ac:dyDescent="0.3">
      <c r="D124"/>
      <c r="E124"/>
      <c r="F124"/>
      <c r="G124"/>
      <c r="H124"/>
      <c r="I124"/>
      <c r="J124" s="12"/>
      <c r="K124" s="12"/>
      <c r="S124"/>
      <c r="BA124"/>
    </row>
    <row r="125" spans="2:53" x14ac:dyDescent="0.25">
      <c r="B125" s="23">
        <v>1</v>
      </c>
      <c r="C125" s="121" t="s">
        <v>764</v>
      </c>
      <c r="D125" s="26" t="s">
        <v>190</v>
      </c>
      <c r="E125" s="26" t="s">
        <v>231</v>
      </c>
      <c r="F125" s="39" t="s">
        <v>227</v>
      </c>
      <c r="G125" s="33"/>
      <c r="J125" s="76"/>
      <c r="K125" s="76"/>
      <c r="M125" s="3">
        <v>20</v>
      </c>
      <c r="N125" s="1" t="s">
        <v>225</v>
      </c>
      <c r="O125" s="3">
        <v>5</v>
      </c>
      <c r="P125" s="1" t="s">
        <v>229</v>
      </c>
      <c r="S125" s="27">
        <f>(HLOOKUP(M126,$AR$19:$AU$31,$AO$20,FALSE)+ROUNDUP(M127,0)*(HLOOKUP(M126,$AR$19:$AU$31,$AO$22,FALSE)+HLOOKUP(M126,$AR$19:$AU$31,$AO$24,FALSE)+M125*HLOOKUP(M126,$AR$19:$AU$31,$AO$23,FALSE)+(M125+HLOOKUP(M126,$AR$19:$AU$31,$AO$27,FALSE))*HLOOKUP(M126,$AR$19:$AU$31,$AO$25,FALSE))+(M125+HLOOKUP(M126,$AR$19:$AU$31,$AO$28,FALSE))*IF(M127&gt;0.5,HLOOKUP(M126,$AR$19:$AU$31,$AO$30,FALSE),HLOOKUP(M126,$AR$19:$AU$31,$AO$31,FALSE)))*O125+(F128+F129)*M125*O125</f>
        <v>657016.49599999993</v>
      </c>
      <c r="U125" s="3" t="s">
        <v>22</v>
      </c>
      <c r="W125" s="45">
        <f>VLOOKUP($U125,'Regional splits'!$B$15:$R$22,W$5,FALSE)</f>
        <v>8.3333333333333329E-2</v>
      </c>
      <c r="X125" s="45">
        <f>VLOOKUP($U125,'Regional splits'!$B$15:$R$22,X$5,FALSE)</f>
        <v>0.1388888888888889</v>
      </c>
      <c r="Y125" s="45">
        <f>VLOOKUP($U125,'Regional splits'!$B$15:$R$22,Y$5,FALSE)</f>
        <v>9.7222222222222224E-2</v>
      </c>
      <c r="Z125" s="45">
        <f>VLOOKUP($U125,'Regional splits'!$B$15:$R$22,Z$5,FALSE)</f>
        <v>9.7222222222222224E-2</v>
      </c>
      <c r="AA125" s="45">
        <f>VLOOKUP($U125,'Regional splits'!$B$15:$R$22,AA$5,FALSE)</f>
        <v>5.5555555555555552E-2</v>
      </c>
      <c r="AB125" s="45">
        <f>VLOOKUP($U125,'Regional splits'!$B$15:$R$22,AB$5,FALSE)</f>
        <v>6.9444444444444448E-2</v>
      </c>
      <c r="AC125" s="45">
        <f>VLOOKUP($U125,'Regional splits'!$B$15:$R$22,AC$5,FALSE)</f>
        <v>0.1111111111111111</v>
      </c>
      <c r="AD125" s="45">
        <f>VLOOKUP($U125,'Regional splits'!$B$15:$R$22,AD$5,FALSE)</f>
        <v>9.7222222222222224E-2</v>
      </c>
      <c r="AE125" s="45">
        <f>VLOOKUP($U125,'Regional splits'!$B$15:$R$22,AE$5,FALSE)</f>
        <v>0.15277777777777779</v>
      </c>
      <c r="AF125" s="45">
        <f>VLOOKUP($U125,'Regional splits'!$B$15:$R$22,AF$5,FALSE)</f>
        <v>9.7222222222222224E-2</v>
      </c>
      <c r="AG125" s="45">
        <f>VLOOKUP($U125,'Regional splits'!$B$15:$R$22,AG$5,FALSE)</f>
        <v>0</v>
      </c>
      <c r="AH125" s="45">
        <f>VLOOKUP($U125,'Regional splits'!$B$15:$R$22,AH$5,FALSE)</f>
        <v>0</v>
      </c>
      <c r="AI125" s="45">
        <f>VLOOKUP($U125,'Regional splits'!$B$15:$R$22,AI$5,FALSE)</f>
        <v>0</v>
      </c>
      <c r="AJ125" s="45">
        <f>VLOOKUP($U125,'Regional splits'!$B$15:$R$22,AJ$5,FALSE)</f>
        <v>0</v>
      </c>
      <c r="AK125" s="45">
        <f>VLOOKUP($U125,'Regional splits'!$B$15:$R$22,AK$5,FALSE)</f>
        <v>0</v>
      </c>
      <c r="AL125" s="45">
        <f>VLOOKUP($U125,'Regional splits'!$B$15:$R$22,AL$5,FALSE)</f>
        <v>0</v>
      </c>
      <c r="AN125" s="3" t="s">
        <v>417</v>
      </c>
      <c r="AP125">
        <f t="shared" ref="AP125:AY125" si="14">IF(ISNUMBER(SEARCH(AP$3,$AN125)),1,0)</f>
        <v>0</v>
      </c>
      <c r="AQ125">
        <f t="shared" si="14"/>
        <v>1</v>
      </c>
      <c r="AR125">
        <f t="shared" si="14"/>
        <v>1</v>
      </c>
      <c r="AS125">
        <f t="shared" si="14"/>
        <v>1</v>
      </c>
      <c r="AT125">
        <f t="shared" si="14"/>
        <v>1</v>
      </c>
      <c r="AU125">
        <f t="shared" si="14"/>
        <v>1</v>
      </c>
      <c r="AV125">
        <f t="shared" si="14"/>
        <v>1</v>
      </c>
      <c r="AW125">
        <f t="shared" si="14"/>
        <v>1</v>
      </c>
      <c r="AX125">
        <f t="shared" si="14"/>
        <v>0</v>
      </c>
      <c r="AY125">
        <f t="shared" si="14"/>
        <v>0</v>
      </c>
      <c r="BA125" s="31">
        <f>S125*COUNTIFS(AP125:AY125,"1",$AP$4:$AY$4,"TRUE")</f>
        <v>4599115.4719999991</v>
      </c>
    </row>
    <row r="126" spans="2:53" x14ac:dyDescent="0.25">
      <c r="C126" s="122"/>
      <c r="G126" s="33"/>
      <c r="J126" s="76"/>
      <c r="K126" s="76"/>
      <c r="M126" s="3" t="s">
        <v>51</v>
      </c>
      <c r="N126" s="1" t="s">
        <v>226</v>
      </c>
    </row>
    <row r="127" spans="2:53" x14ac:dyDescent="0.25">
      <c r="C127" s="122"/>
      <c r="G127" s="33"/>
      <c r="J127" s="76"/>
      <c r="K127" s="76"/>
      <c r="M127" s="3">
        <v>10</v>
      </c>
      <c r="N127" s="1" t="s">
        <v>252</v>
      </c>
    </row>
    <row r="128" spans="2:53" x14ac:dyDescent="0.25">
      <c r="C128" s="122"/>
      <c r="E128" s="26" t="s">
        <v>230</v>
      </c>
      <c r="F128" s="32">
        <v>100</v>
      </c>
      <c r="G128" s="33"/>
      <c r="J128" s="76" t="s">
        <v>762</v>
      </c>
      <c r="K128" s="76"/>
    </row>
    <row r="129" spans="3:53" ht="15.75" thickBot="1" x14ac:dyDescent="0.3">
      <c r="C129" s="123"/>
      <c r="E129" s="26" t="s">
        <v>232</v>
      </c>
      <c r="F129" s="32">
        <v>0</v>
      </c>
      <c r="G129" s="26" t="s">
        <v>761</v>
      </c>
      <c r="J129" s="76"/>
      <c r="K129" s="76"/>
    </row>
    <row r="130" spans="3:53" ht="15.75" thickBot="1" x14ac:dyDescent="0.3">
      <c r="G130" s="33"/>
      <c r="J130" s="76"/>
      <c r="K130" s="76"/>
    </row>
    <row r="131" spans="3:53" x14ac:dyDescent="0.25">
      <c r="C131" s="121" t="s">
        <v>760</v>
      </c>
      <c r="D131" s="26" t="s">
        <v>277</v>
      </c>
      <c r="E131" s="26" t="s">
        <v>414</v>
      </c>
      <c r="F131" s="32">
        <v>0</v>
      </c>
      <c r="G131" s="33"/>
      <c r="J131" s="76"/>
      <c r="K131" s="76"/>
      <c r="M131" s="3">
        <v>200</v>
      </c>
      <c r="N131" s="1" t="s">
        <v>281</v>
      </c>
      <c r="S131" s="27">
        <f>M131*(F131+SUMPRODUCT(F132:F133,M132:M133))</f>
        <v>40000</v>
      </c>
      <c r="U131" s="3" t="s">
        <v>22</v>
      </c>
      <c r="W131" s="45">
        <f>VLOOKUP($U131,'Regional splits'!$B$15:$R$22,W$5,FALSE)</f>
        <v>8.3333333333333329E-2</v>
      </c>
      <c r="X131" s="45">
        <f>VLOOKUP($U131,'Regional splits'!$B$15:$R$22,X$5,FALSE)</f>
        <v>0.1388888888888889</v>
      </c>
      <c r="Y131" s="45">
        <f>VLOOKUP($U131,'Regional splits'!$B$15:$R$22,Y$5,FALSE)</f>
        <v>9.7222222222222224E-2</v>
      </c>
      <c r="Z131" s="45">
        <f>VLOOKUP($U131,'Regional splits'!$B$15:$R$22,Z$5,FALSE)</f>
        <v>9.7222222222222224E-2</v>
      </c>
      <c r="AA131" s="45">
        <f>VLOOKUP($U131,'Regional splits'!$B$15:$R$22,AA$5,FALSE)</f>
        <v>5.5555555555555552E-2</v>
      </c>
      <c r="AB131" s="45">
        <f>VLOOKUP($U131,'Regional splits'!$B$15:$R$22,AB$5,FALSE)</f>
        <v>6.9444444444444448E-2</v>
      </c>
      <c r="AC131" s="45">
        <f>VLOOKUP($U131,'Regional splits'!$B$15:$R$22,AC$5,FALSE)</f>
        <v>0.1111111111111111</v>
      </c>
      <c r="AD131" s="45">
        <f>VLOOKUP($U131,'Regional splits'!$B$15:$R$22,AD$5,FALSE)</f>
        <v>9.7222222222222224E-2</v>
      </c>
      <c r="AE131" s="45">
        <f>VLOOKUP($U131,'Regional splits'!$B$15:$R$22,AE$5,FALSE)</f>
        <v>0.15277777777777779</v>
      </c>
      <c r="AF131" s="45">
        <f>VLOOKUP($U131,'Regional splits'!$B$15:$R$22,AF$5,FALSE)</f>
        <v>9.7222222222222224E-2</v>
      </c>
      <c r="AG131" s="45">
        <f>VLOOKUP($U131,'Regional splits'!$B$15:$R$22,AG$5,FALSE)</f>
        <v>0</v>
      </c>
      <c r="AH131" s="45">
        <f>VLOOKUP($U131,'Regional splits'!$B$15:$R$22,AH$5,FALSE)</f>
        <v>0</v>
      </c>
      <c r="AI131" s="45">
        <f>VLOOKUP($U131,'Regional splits'!$B$15:$R$22,AI$5,FALSE)</f>
        <v>0</v>
      </c>
      <c r="AJ131" s="45">
        <f>VLOOKUP($U131,'Regional splits'!$B$15:$R$22,AJ$5,FALSE)</f>
        <v>0</v>
      </c>
      <c r="AK131" s="45">
        <f>VLOOKUP($U131,'Regional splits'!$B$15:$R$22,AK$5,FALSE)</f>
        <v>0</v>
      </c>
      <c r="AL131" s="45">
        <f>VLOOKUP($U131,'Regional splits'!$B$15:$R$22,AL$5,FALSE)</f>
        <v>0</v>
      </c>
      <c r="AN131" s="3" t="s">
        <v>417</v>
      </c>
      <c r="AP131">
        <f t="shared" ref="AP131:AY131" si="15">IF(ISNUMBER(SEARCH(AP$3,$AN131)),1,0)</f>
        <v>0</v>
      </c>
      <c r="AQ131">
        <f t="shared" si="15"/>
        <v>1</v>
      </c>
      <c r="AR131">
        <f t="shared" si="15"/>
        <v>1</v>
      </c>
      <c r="AS131">
        <f t="shared" si="15"/>
        <v>1</v>
      </c>
      <c r="AT131">
        <f t="shared" si="15"/>
        <v>1</v>
      </c>
      <c r="AU131">
        <f t="shared" si="15"/>
        <v>1</v>
      </c>
      <c r="AV131">
        <f t="shared" si="15"/>
        <v>1</v>
      </c>
      <c r="AW131">
        <f t="shared" si="15"/>
        <v>1</v>
      </c>
      <c r="AX131">
        <f t="shared" si="15"/>
        <v>0</v>
      </c>
      <c r="AY131">
        <f t="shared" si="15"/>
        <v>0</v>
      </c>
      <c r="BA131" s="31">
        <f>S131*COUNTIFS(AP131:AY131,"1",$AP$4:$AY$4,"TRUE")</f>
        <v>280000</v>
      </c>
    </row>
    <row r="132" spans="3:53" x14ac:dyDescent="0.25">
      <c r="C132" s="122"/>
      <c r="D132" s="26" t="s">
        <v>230</v>
      </c>
      <c r="F132" s="32">
        <f>F128</f>
        <v>100</v>
      </c>
      <c r="G132" s="33"/>
      <c r="J132" s="76" t="s">
        <v>763</v>
      </c>
      <c r="K132" s="76"/>
      <c r="M132" s="3">
        <v>2</v>
      </c>
      <c r="N132" s="1" t="s">
        <v>282</v>
      </c>
    </row>
    <row r="133" spans="3:53" ht="15.75" thickBot="1" x14ac:dyDescent="0.3">
      <c r="C133" s="123"/>
      <c r="D133" s="26" t="s">
        <v>278</v>
      </c>
      <c r="E133" s="26" t="s">
        <v>415</v>
      </c>
      <c r="F133" s="32">
        <v>0</v>
      </c>
      <c r="G133" s="33"/>
      <c r="J133" s="76"/>
      <c r="K133" s="76"/>
      <c r="M133" s="3">
        <v>5</v>
      </c>
      <c r="N133" s="1" t="s">
        <v>280</v>
      </c>
    </row>
    <row r="134" spans="3:53" ht="15.75" thickBot="1" x14ac:dyDescent="0.3">
      <c r="F134" s="33"/>
      <c r="G134" s="33"/>
      <c r="J134" s="76"/>
      <c r="K134" s="76"/>
    </row>
    <row r="135" spans="3:53" x14ac:dyDescent="0.25">
      <c r="C135" s="118" t="s">
        <v>759</v>
      </c>
      <c r="D135" s="26" t="s">
        <v>233</v>
      </c>
      <c r="E135" s="26" t="s">
        <v>231</v>
      </c>
      <c r="F135" s="39" t="s">
        <v>227</v>
      </c>
      <c r="G135" s="33"/>
      <c r="J135" s="76"/>
      <c r="K135" s="76"/>
      <c r="M135" s="3">
        <v>20</v>
      </c>
      <c r="N135" s="1" t="s">
        <v>225</v>
      </c>
      <c r="O135" s="3">
        <v>3</v>
      </c>
      <c r="P135" s="1" t="s">
        <v>229</v>
      </c>
      <c r="S135" s="27">
        <f>(HLOOKUP(M136,$AR$19:$AU$31,$AO$20,FALSE)+ROUNDUP(M137,0)*(HLOOKUP(M136,$AR$19:$AU$31,$AO$22,FALSE)+HLOOKUP(M136,$AR$19:$AU$31,$AO$24,FALSE)+M135*HLOOKUP(M136,$AR$19:$AU$31,$AO$23,FALSE)+(M135+HLOOKUP(M136,$AR$19:$AU$31,$AO$27,FALSE))*HLOOKUP(M136,$AR$19:$AU$31,$AO$25,FALSE))+(M135+HLOOKUP(M136,$AR$19:$AU$31,$AO$28,FALSE))*IF(M137&gt;0.5,HLOOKUP(M136,$AR$19:$AU$31,$AO$30,FALSE),HLOOKUP(M136,$AR$19:$AU$31,$AO$31,FALSE)))*O135</f>
        <v>265428.19199999998</v>
      </c>
      <c r="U135" s="3" t="s">
        <v>176</v>
      </c>
      <c r="W135" s="45">
        <f>VLOOKUP($U135,'Regional splits'!$B$15:$R$22,W$5,FALSE)</f>
        <v>0</v>
      </c>
      <c r="X135" s="45">
        <f>VLOOKUP($U135,'Regional splits'!$B$15:$R$22,X$5,FALSE)</f>
        <v>0</v>
      </c>
      <c r="Y135" s="45">
        <f>VLOOKUP($U135,'Regional splits'!$B$15:$R$22,Y$5,FALSE)</f>
        <v>0</v>
      </c>
      <c r="Z135" s="45">
        <f>VLOOKUP($U135,'Regional splits'!$B$15:$R$22,Z$5,FALSE)</f>
        <v>0</v>
      </c>
      <c r="AA135" s="45">
        <f>VLOOKUP($U135,'Regional splits'!$B$15:$R$22,AA$5,FALSE)</f>
        <v>0</v>
      </c>
      <c r="AB135" s="45">
        <f>VLOOKUP($U135,'Regional splits'!$B$15:$R$22,AB$5,FALSE)</f>
        <v>0</v>
      </c>
      <c r="AC135" s="45">
        <f>VLOOKUP($U135,'Regional splits'!$B$15:$R$22,AC$5,FALSE)</f>
        <v>0</v>
      </c>
      <c r="AD135" s="45">
        <f>VLOOKUP($U135,'Regional splits'!$B$15:$R$22,AD$5,FALSE)</f>
        <v>0</v>
      </c>
      <c r="AE135" s="45">
        <f>VLOOKUP($U135,'Regional splits'!$B$15:$R$22,AE$5,FALSE)</f>
        <v>0</v>
      </c>
      <c r="AF135" s="45">
        <f>VLOOKUP($U135,'Regional splits'!$B$15:$R$22,AF$5,FALSE)</f>
        <v>0</v>
      </c>
      <c r="AG135" s="45">
        <f>VLOOKUP($U135,'Regional splits'!$B$15:$R$22,AG$5,FALSE)</f>
        <v>0</v>
      </c>
      <c r="AH135" s="45">
        <f>VLOOKUP($U135,'Regional splits'!$B$15:$R$22,AH$5,FALSE)</f>
        <v>0</v>
      </c>
      <c r="AI135" s="45">
        <f>VLOOKUP($U135,'Regional splits'!$B$15:$R$22,AI$5,FALSE)</f>
        <v>0</v>
      </c>
      <c r="AJ135" s="45">
        <f>VLOOKUP($U135,'Regional splits'!$B$15:$R$22,AJ$5,FALSE)</f>
        <v>0</v>
      </c>
      <c r="AK135" s="45">
        <f>VLOOKUP($U135,'Regional splits'!$B$15:$R$22,AK$5,FALSE)</f>
        <v>0</v>
      </c>
      <c r="AL135" s="45">
        <f>VLOOKUP($U135,'Regional splits'!$B$15:$R$22,AL$5,FALSE)</f>
        <v>1</v>
      </c>
      <c r="AN135" s="3" t="s">
        <v>546</v>
      </c>
      <c r="AP135">
        <f t="shared" ref="AP135:AY135" si="16">IF(ISNUMBER(SEARCH(AP$3,$AN135)),1,0)</f>
        <v>0</v>
      </c>
      <c r="AQ135">
        <f t="shared" si="16"/>
        <v>1</v>
      </c>
      <c r="AR135">
        <f t="shared" si="16"/>
        <v>1</v>
      </c>
      <c r="AS135">
        <f t="shared" si="16"/>
        <v>1</v>
      </c>
      <c r="AT135">
        <f t="shared" si="16"/>
        <v>0</v>
      </c>
      <c r="AU135">
        <f t="shared" si="16"/>
        <v>0</v>
      </c>
      <c r="AV135">
        <f t="shared" si="16"/>
        <v>0</v>
      </c>
      <c r="AW135">
        <f t="shared" si="16"/>
        <v>0</v>
      </c>
      <c r="AX135">
        <f t="shared" si="16"/>
        <v>0</v>
      </c>
      <c r="AY135">
        <f t="shared" si="16"/>
        <v>0</v>
      </c>
      <c r="BA135" s="31">
        <f>S135*COUNTIFS(AP135:AY135,"1",$AP$4:$AY$4,"TRUE")</f>
        <v>796284.57599999988</v>
      </c>
    </row>
    <row r="136" spans="3:53" x14ac:dyDescent="0.25">
      <c r="C136" s="119"/>
      <c r="G136" s="33"/>
      <c r="J136" s="76"/>
      <c r="K136" s="76"/>
      <c r="M136" s="3" t="s">
        <v>50</v>
      </c>
      <c r="N136" s="1" t="s">
        <v>226</v>
      </c>
      <c r="U136" s="26"/>
      <c r="V136" s="26"/>
      <c r="W136" s="84"/>
      <c r="X136" s="84"/>
      <c r="Y136" s="84"/>
      <c r="Z136" s="84"/>
      <c r="AA136" s="84"/>
      <c r="AB136" s="84"/>
      <c r="AC136" s="84"/>
      <c r="AD136" s="84"/>
      <c r="AE136" s="84"/>
      <c r="AF136" s="84"/>
      <c r="AG136" s="84"/>
      <c r="AH136" s="84"/>
      <c r="AI136" s="84"/>
      <c r="AJ136" s="84"/>
      <c r="AK136" s="84"/>
      <c r="AL136" s="84"/>
      <c r="AM136" s="26"/>
      <c r="AN136" s="26"/>
      <c r="AZ136" s="26"/>
    </row>
    <row r="137" spans="3:53" ht="15.75" thickBot="1" x14ac:dyDescent="0.3">
      <c r="C137" s="120"/>
      <c r="G137" s="33"/>
      <c r="J137" s="76"/>
      <c r="K137" s="76"/>
      <c r="M137" s="3">
        <v>5</v>
      </c>
      <c r="N137" s="1" t="s">
        <v>252</v>
      </c>
      <c r="U137" s="26"/>
      <c r="V137" s="26"/>
      <c r="W137" s="84"/>
      <c r="X137" s="84"/>
      <c r="Y137" s="84"/>
      <c r="Z137" s="84"/>
      <c r="AA137" s="84"/>
      <c r="AB137" s="84"/>
      <c r="AC137" s="84"/>
      <c r="AD137" s="84"/>
      <c r="AE137" s="84"/>
      <c r="AF137" s="84"/>
      <c r="AG137" s="84"/>
      <c r="AH137" s="84"/>
      <c r="AI137" s="84"/>
      <c r="AJ137" s="84"/>
      <c r="AK137" s="84"/>
      <c r="AL137" s="84"/>
      <c r="AM137" s="26"/>
      <c r="AN137" s="26"/>
      <c r="AZ137" s="26"/>
    </row>
    <row r="138" spans="3:53" ht="15.75" thickBot="1" x14ac:dyDescent="0.3">
      <c r="F138" s="33"/>
      <c r="G138" s="33"/>
      <c r="J138" s="76"/>
      <c r="K138" s="76"/>
    </row>
    <row r="139" spans="3:53" x14ac:dyDescent="0.25">
      <c r="C139" s="118" t="s">
        <v>805</v>
      </c>
      <c r="D139" s="26" t="s">
        <v>806</v>
      </c>
      <c r="E139" s="26" t="s">
        <v>238</v>
      </c>
      <c r="F139" s="39" t="s">
        <v>227</v>
      </c>
      <c r="G139" s="33"/>
      <c r="J139" s="76"/>
      <c r="K139" s="76"/>
      <c r="M139" s="3">
        <v>30</v>
      </c>
      <c r="N139" s="1" t="s">
        <v>225</v>
      </c>
      <c r="O139" s="3">
        <v>1</v>
      </c>
      <c r="P139" s="1" t="s">
        <v>229</v>
      </c>
      <c r="S139" s="27">
        <f>(HLOOKUP(M140,$AR$19:$AU$31,$AO$20,FALSE)+ROUNDUP(M141,0)*(HLOOKUP(M140,$AR$19:$AU$31,$AO$22,FALSE)+HLOOKUP(M140,$AR$19:$AU$31,$AO$24,FALSE)+M139*HLOOKUP(M140,$AR$19:$AU$31,$AO$23,FALSE)+(M139+HLOOKUP(M140,$AR$19:$AU$31,$AO$27,FALSE))*HLOOKUP(M140,$AR$19:$AU$31,$AO$25,FALSE))+(M139+HLOOKUP(M140,$AR$19:$AU$31,$AO$28,FALSE))*IF(M141&gt;0.5,HLOOKUP(M140,$AR$19:$AU$31,$AO$30,FALSE),HLOOKUP(M140,$AR$19:$AU$31,$AO$31,FALSE)))*O139</f>
        <v>28677.576000000001</v>
      </c>
      <c r="U139" s="3" t="s">
        <v>176</v>
      </c>
      <c r="W139" s="45">
        <f>VLOOKUP($U139,'Regional splits'!$B$15:$R$22,W$5,FALSE)</f>
        <v>0</v>
      </c>
      <c r="X139" s="45">
        <f>VLOOKUP($U139,'Regional splits'!$B$15:$R$22,X$5,FALSE)</f>
        <v>0</v>
      </c>
      <c r="Y139" s="45">
        <f>VLOOKUP($U139,'Regional splits'!$B$15:$R$22,Y$5,FALSE)</f>
        <v>0</v>
      </c>
      <c r="Z139" s="45">
        <f>VLOOKUP($U139,'Regional splits'!$B$15:$R$22,Z$5,FALSE)</f>
        <v>0</v>
      </c>
      <c r="AA139" s="45">
        <f>VLOOKUP($U139,'Regional splits'!$B$15:$R$22,AA$5,FALSE)</f>
        <v>0</v>
      </c>
      <c r="AB139" s="45">
        <f>VLOOKUP($U139,'Regional splits'!$B$15:$R$22,AB$5,FALSE)</f>
        <v>0</v>
      </c>
      <c r="AC139" s="45">
        <f>VLOOKUP($U139,'Regional splits'!$B$15:$R$22,AC$5,FALSE)</f>
        <v>0</v>
      </c>
      <c r="AD139" s="45">
        <f>VLOOKUP($U139,'Regional splits'!$B$15:$R$22,AD$5,FALSE)</f>
        <v>0</v>
      </c>
      <c r="AE139" s="45">
        <f>VLOOKUP($U139,'Regional splits'!$B$15:$R$22,AE$5,FALSE)</f>
        <v>0</v>
      </c>
      <c r="AF139" s="45">
        <f>VLOOKUP($U139,'Regional splits'!$B$15:$R$22,AF$5,FALSE)</f>
        <v>0</v>
      </c>
      <c r="AG139" s="45">
        <f>VLOOKUP($U139,'Regional splits'!$B$15:$R$22,AG$5,FALSE)</f>
        <v>0</v>
      </c>
      <c r="AH139" s="45">
        <f>VLOOKUP($U139,'Regional splits'!$B$15:$R$22,AH$5,FALSE)</f>
        <v>0</v>
      </c>
      <c r="AI139" s="45">
        <f>VLOOKUP($U139,'Regional splits'!$B$15:$R$22,AI$5,FALSE)</f>
        <v>0</v>
      </c>
      <c r="AJ139" s="45">
        <f>VLOOKUP($U139,'Regional splits'!$B$15:$R$22,AJ$5,FALSE)</f>
        <v>0</v>
      </c>
      <c r="AK139" s="45">
        <f>VLOOKUP($U139,'Regional splits'!$B$15:$R$22,AK$5,FALSE)</f>
        <v>0</v>
      </c>
      <c r="AL139" s="45">
        <f>VLOOKUP($U139,'Regional splits'!$B$15:$R$22,AL$5,FALSE)</f>
        <v>1</v>
      </c>
      <c r="AN139" s="3">
        <v>2014</v>
      </c>
      <c r="AP139">
        <f t="shared" ref="AP139:AY139" si="17">IF(ISNUMBER(SEARCH(AP$3,$AN139)),1,0)</f>
        <v>0</v>
      </c>
      <c r="AQ139">
        <f t="shared" si="17"/>
        <v>1</v>
      </c>
      <c r="AR139">
        <f t="shared" si="17"/>
        <v>0</v>
      </c>
      <c r="AS139">
        <f t="shared" si="17"/>
        <v>0</v>
      </c>
      <c r="AT139">
        <f t="shared" si="17"/>
        <v>0</v>
      </c>
      <c r="AU139">
        <f t="shared" si="17"/>
        <v>0</v>
      </c>
      <c r="AV139">
        <f t="shared" si="17"/>
        <v>0</v>
      </c>
      <c r="AW139">
        <f t="shared" si="17"/>
        <v>0</v>
      </c>
      <c r="AX139">
        <f t="shared" si="17"/>
        <v>0</v>
      </c>
      <c r="AY139">
        <f t="shared" si="17"/>
        <v>0</v>
      </c>
      <c r="BA139" s="31">
        <f>S139*COUNTIFS(AP139:AY139,"1",$AP$4:$AY$4,"TRUE")</f>
        <v>28677.576000000001</v>
      </c>
    </row>
    <row r="140" spans="3:53" x14ac:dyDescent="0.25">
      <c r="C140" s="119"/>
      <c r="G140" s="33"/>
      <c r="J140" s="76"/>
      <c r="K140" s="76"/>
      <c r="M140" s="3" t="s">
        <v>50</v>
      </c>
      <c r="N140" s="1" t="s">
        <v>226</v>
      </c>
      <c r="T140" s="26"/>
      <c r="U140" s="26"/>
      <c r="V140" s="26"/>
      <c r="W140" s="84"/>
      <c r="X140" s="84"/>
      <c r="Y140" s="84"/>
      <c r="Z140" s="84"/>
      <c r="AA140" s="84"/>
      <c r="AB140" s="84"/>
      <c r="AC140" s="84"/>
      <c r="AD140" s="84"/>
      <c r="AE140" s="84"/>
      <c r="AF140" s="84"/>
      <c r="AG140" s="84"/>
      <c r="AH140" s="84"/>
      <c r="AI140" s="84"/>
      <c r="AJ140" s="84"/>
      <c r="AK140" s="84"/>
      <c r="AL140" s="84"/>
      <c r="AM140" s="26"/>
      <c r="AN140" s="26"/>
      <c r="AO140" s="26"/>
      <c r="AZ140" s="26"/>
    </row>
    <row r="141" spans="3:53" ht="15.75" thickBot="1" x14ac:dyDescent="0.3">
      <c r="C141" s="120"/>
      <c r="G141" s="33"/>
      <c r="J141" s="76"/>
      <c r="K141" s="76"/>
      <c r="M141" s="3">
        <v>1</v>
      </c>
      <c r="N141" s="1" t="s">
        <v>252</v>
      </c>
      <c r="T141" s="26"/>
      <c r="U141" s="26"/>
      <c r="V141" s="26"/>
      <c r="W141" s="84"/>
      <c r="X141" s="84"/>
      <c r="Y141" s="84"/>
      <c r="Z141" s="84"/>
      <c r="AA141" s="84"/>
      <c r="AB141" s="84"/>
      <c r="AC141" s="84"/>
      <c r="AD141" s="84"/>
      <c r="AE141" s="84"/>
      <c r="AF141" s="84"/>
      <c r="AG141" s="84"/>
      <c r="AH141" s="84"/>
      <c r="AI141" s="84"/>
      <c r="AJ141" s="84"/>
      <c r="AK141" s="84"/>
      <c r="AL141" s="84"/>
      <c r="AM141" s="26"/>
      <c r="AN141" s="26"/>
      <c r="AO141" s="26"/>
      <c r="AZ141" s="26"/>
    </row>
    <row r="142" spans="3:53" ht="15.75" thickBot="1" x14ac:dyDescent="0.3">
      <c r="F142" s="33"/>
      <c r="G142" s="33"/>
      <c r="J142" s="76"/>
      <c r="K142" s="76"/>
    </row>
    <row r="143" spans="3:53" x14ac:dyDescent="0.25">
      <c r="C143" s="118" t="s">
        <v>808</v>
      </c>
      <c r="D143" s="26" t="s">
        <v>807</v>
      </c>
      <c r="E143" s="26" t="s">
        <v>238</v>
      </c>
      <c r="F143" s="39" t="s">
        <v>227</v>
      </c>
      <c r="G143" s="33"/>
      <c r="J143" s="76"/>
      <c r="K143" s="76"/>
      <c r="M143" s="3">
        <v>5</v>
      </c>
      <c r="N143" s="1" t="s">
        <v>225</v>
      </c>
      <c r="O143" s="3">
        <v>4</v>
      </c>
      <c r="P143" s="1" t="s">
        <v>229</v>
      </c>
      <c r="S143" s="27">
        <f>(HLOOKUP(M144,$AR$19:$AU$31,$AO$20,FALSE)+ROUNDUP(M145,0)*(HLOOKUP(M144,$AR$19:$AU$31,$AO$22,FALSE)+HLOOKUP(M144,$AR$19:$AU$31,$AO$24,FALSE)+M143*HLOOKUP(M144,$AR$19:$AU$31,$AO$23,FALSE)+(M143+HLOOKUP(M144,$AR$19:$AU$31,$AO$27,FALSE))*HLOOKUP(M144,$AR$19:$AU$31,$AO$25,FALSE))+(M143+HLOOKUP(M144,$AR$19:$AU$31,$AO$28,FALSE))*IF(M145&gt;0.5,HLOOKUP(M144,$AR$19:$AU$31,$AO$30,FALSE),HLOOKUP(M144,$AR$19:$AU$31,$AO$31,FALSE)))*O143</f>
        <v>44460.303999999996</v>
      </c>
      <c r="U143" s="3" t="s">
        <v>176</v>
      </c>
      <c r="W143" s="45">
        <f>VLOOKUP($U143,'Regional splits'!$B$15:$R$22,W$5,FALSE)</f>
        <v>0</v>
      </c>
      <c r="X143" s="45">
        <f>VLOOKUP($U143,'Regional splits'!$B$15:$R$22,X$5,FALSE)</f>
        <v>0</v>
      </c>
      <c r="Y143" s="45">
        <f>VLOOKUP($U143,'Regional splits'!$B$15:$R$22,Y$5,FALSE)</f>
        <v>0</v>
      </c>
      <c r="Z143" s="45">
        <f>VLOOKUP($U143,'Regional splits'!$B$15:$R$22,Z$5,FALSE)</f>
        <v>0</v>
      </c>
      <c r="AA143" s="45">
        <f>VLOOKUP($U143,'Regional splits'!$B$15:$R$22,AA$5,FALSE)</f>
        <v>0</v>
      </c>
      <c r="AB143" s="45">
        <f>VLOOKUP($U143,'Regional splits'!$B$15:$R$22,AB$5,FALSE)</f>
        <v>0</v>
      </c>
      <c r="AC143" s="45">
        <f>VLOOKUP($U143,'Regional splits'!$B$15:$R$22,AC$5,FALSE)</f>
        <v>0</v>
      </c>
      <c r="AD143" s="45">
        <f>VLOOKUP($U143,'Regional splits'!$B$15:$R$22,AD$5,FALSE)</f>
        <v>0</v>
      </c>
      <c r="AE143" s="45">
        <f>VLOOKUP($U143,'Regional splits'!$B$15:$R$22,AE$5,FALSE)</f>
        <v>0</v>
      </c>
      <c r="AF143" s="45">
        <f>VLOOKUP($U143,'Regional splits'!$B$15:$R$22,AF$5,FALSE)</f>
        <v>0</v>
      </c>
      <c r="AG143" s="45">
        <f>VLOOKUP($U143,'Regional splits'!$B$15:$R$22,AG$5,FALSE)</f>
        <v>0</v>
      </c>
      <c r="AH143" s="45">
        <f>VLOOKUP($U143,'Regional splits'!$B$15:$R$22,AH$5,FALSE)</f>
        <v>0</v>
      </c>
      <c r="AI143" s="45">
        <f>VLOOKUP($U143,'Regional splits'!$B$15:$R$22,AI$5,FALSE)</f>
        <v>0</v>
      </c>
      <c r="AJ143" s="45">
        <f>VLOOKUP($U143,'Regional splits'!$B$15:$R$22,AJ$5,FALSE)</f>
        <v>0</v>
      </c>
      <c r="AK143" s="45">
        <f>VLOOKUP($U143,'Regional splits'!$B$15:$R$22,AK$5,FALSE)</f>
        <v>0</v>
      </c>
      <c r="AL143" s="45">
        <f>VLOOKUP($U143,'Regional splits'!$B$15:$R$22,AL$5,FALSE)</f>
        <v>1</v>
      </c>
      <c r="AN143" s="3" t="s">
        <v>222</v>
      </c>
      <c r="AP143">
        <f t="shared" ref="AP143:AY143" si="18">IF(ISNUMBER(SEARCH(AP$3,$AN143)),1,0)</f>
        <v>1</v>
      </c>
      <c r="AQ143">
        <f t="shared" si="18"/>
        <v>1</v>
      </c>
      <c r="AR143">
        <f t="shared" si="18"/>
        <v>1</v>
      </c>
      <c r="AS143">
        <f t="shared" si="18"/>
        <v>1</v>
      </c>
      <c r="AT143">
        <f t="shared" si="18"/>
        <v>1</v>
      </c>
      <c r="AU143">
        <f t="shared" si="18"/>
        <v>1</v>
      </c>
      <c r="AV143">
        <f t="shared" si="18"/>
        <v>1</v>
      </c>
      <c r="AW143">
        <f t="shared" si="18"/>
        <v>1</v>
      </c>
      <c r="AX143">
        <f t="shared" si="18"/>
        <v>0</v>
      </c>
      <c r="AY143">
        <f t="shared" si="18"/>
        <v>0</v>
      </c>
      <c r="BA143" s="31">
        <f>S143*COUNTIFS(AP143:AY143,"1",$AP$4:$AY$4,"TRUE")</f>
        <v>355682.43199999997</v>
      </c>
    </row>
    <row r="144" spans="3:53" x14ac:dyDescent="0.25">
      <c r="C144" s="119"/>
      <c r="G144" s="33"/>
      <c r="J144" s="76"/>
      <c r="K144" s="76"/>
      <c r="M144" s="3" t="s">
        <v>50</v>
      </c>
      <c r="N144" s="1" t="s">
        <v>226</v>
      </c>
      <c r="T144" s="26"/>
      <c r="U144" s="26"/>
      <c r="V144" s="26"/>
      <c r="W144" s="84"/>
      <c r="X144" s="84"/>
      <c r="Y144" s="84"/>
      <c r="Z144" s="84"/>
      <c r="AA144" s="84"/>
      <c r="AB144" s="84"/>
      <c r="AC144" s="84"/>
      <c r="AD144" s="84"/>
      <c r="AE144" s="84"/>
      <c r="AF144" s="84"/>
      <c r="AG144" s="84"/>
      <c r="AH144" s="84"/>
      <c r="AI144" s="84"/>
      <c r="AJ144" s="84"/>
      <c r="AK144" s="84"/>
      <c r="AL144" s="84"/>
      <c r="AM144" s="26"/>
      <c r="AN144" s="26"/>
      <c r="AO144" s="26"/>
      <c r="AZ144" s="26"/>
    </row>
    <row r="145" spans="2:53" ht="15.75" thickBot="1" x14ac:dyDescent="0.3">
      <c r="C145" s="120"/>
      <c r="G145" s="33"/>
      <c r="J145" s="76"/>
      <c r="K145" s="76"/>
      <c r="M145" s="3">
        <v>0.5</v>
      </c>
      <c r="N145" s="1" t="s">
        <v>252</v>
      </c>
      <c r="T145" s="26"/>
      <c r="U145" s="26"/>
      <c r="V145" s="26"/>
      <c r="W145" s="84"/>
      <c r="X145" s="84"/>
      <c r="Y145" s="84"/>
      <c r="Z145" s="84"/>
      <c r="AA145" s="84"/>
      <c r="AB145" s="84"/>
      <c r="AC145" s="84"/>
      <c r="AD145" s="84"/>
      <c r="AE145" s="84"/>
      <c r="AF145" s="84"/>
      <c r="AG145" s="84"/>
      <c r="AH145" s="84"/>
      <c r="AI145" s="84"/>
      <c r="AJ145" s="84"/>
      <c r="AK145" s="84"/>
      <c r="AL145" s="84"/>
      <c r="AM145" s="26"/>
      <c r="AN145" s="26"/>
      <c r="AO145" s="26"/>
      <c r="AZ145" s="26"/>
    </row>
    <row r="146" spans="2:53" x14ac:dyDescent="0.25">
      <c r="F146" s="33"/>
      <c r="G146" s="33"/>
      <c r="J146" s="76"/>
      <c r="K146" s="76"/>
    </row>
    <row r="147" spans="2:53" ht="18" thickBot="1" x14ac:dyDescent="0.35">
      <c r="C147" s="11" t="s">
        <v>195</v>
      </c>
      <c r="J147" s="76"/>
      <c r="K147" s="76"/>
    </row>
    <row r="148" spans="2:53" ht="16.5" thickTop="1" thickBot="1" x14ac:dyDescent="0.3">
      <c r="J148" s="76"/>
      <c r="K148" s="76"/>
    </row>
    <row r="149" spans="2:53" ht="15" customHeight="1" x14ac:dyDescent="0.25">
      <c r="B149" s="23">
        <v>1</v>
      </c>
      <c r="C149" s="121" t="s">
        <v>580</v>
      </c>
      <c r="D149" s="26" t="s">
        <v>243</v>
      </c>
      <c r="E149" s="26" t="s">
        <v>68</v>
      </c>
      <c r="F149" s="32">
        <v>1500</v>
      </c>
      <c r="G149" s="33" t="s">
        <v>189</v>
      </c>
      <c r="J149" s="76"/>
      <c r="K149" s="76"/>
      <c r="M149" s="3">
        <v>1</v>
      </c>
      <c r="N149" s="1" t="s">
        <v>223</v>
      </c>
      <c r="O149" s="3">
        <v>10</v>
      </c>
      <c r="P149" s="1" t="s">
        <v>224</v>
      </c>
      <c r="S149" s="27">
        <f>(HLOOKUP(M151,$AR$19:$AU$31,$AO$20,FALSE)+ROUNDUP(M152,0)*(HLOOKUP(M151,$AR$19:$AU$31,$AO$22,FALSE)+HLOOKUP(M151,$AR$19:$AU$31,$AO$24,FALSE)+M150*HLOOKUP(M151,$AR$19:$AU$31,$AO$23,FALSE)+(M150+HLOOKUP(M151,$AR$19:$AU$31,$AO$27,FALSE))*HLOOKUP(M151,$AR$19:$AU$31,$AO$25,FALSE))+(M150+HLOOKUP(M151,$AR$19:$AU$31,$AO$28,FALSE))*IF(M152&gt;0.5,HLOOKUP(M151,$AR$19:$AU$31,$AO$30,FALSE),HLOOKUP(M151,$AR$19:$AU$31,$AO$31,FALSE)))*O150+F149*M149*O149+F153*M153</f>
        <v>73677.576000000001</v>
      </c>
      <c r="U149" s="3" t="s">
        <v>176</v>
      </c>
      <c r="W149" s="45">
        <f>VLOOKUP($U149,'Regional splits'!$B$15:$R$22,W$5,FALSE)</f>
        <v>0</v>
      </c>
      <c r="X149" s="45">
        <f>VLOOKUP($U149,'Regional splits'!$B$15:$R$22,X$5,FALSE)</f>
        <v>0</v>
      </c>
      <c r="Y149" s="45">
        <f>VLOOKUP($U149,'Regional splits'!$B$15:$R$22,Y$5,FALSE)</f>
        <v>0</v>
      </c>
      <c r="Z149" s="45">
        <f>VLOOKUP($U149,'Regional splits'!$B$15:$R$22,Z$5,FALSE)</f>
        <v>0</v>
      </c>
      <c r="AA149" s="45">
        <f>VLOOKUP($U149,'Regional splits'!$B$15:$R$22,AA$5,FALSE)</f>
        <v>0</v>
      </c>
      <c r="AB149" s="45">
        <f>VLOOKUP($U149,'Regional splits'!$B$15:$R$22,AB$5,FALSE)</f>
        <v>0</v>
      </c>
      <c r="AC149" s="45">
        <f>VLOOKUP($U149,'Regional splits'!$B$15:$R$22,AC$5,FALSE)</f>
        <v>0</v>
      </c>
      <c r="AD149" s="45">
        <f>VLOOKUP($U149,'Regional splits'!$B$15:$R$22,AD$5,FALSE)</f>
        <v>0</v>
      </c>
      <c r="AE149" s="45">
        <f>VLOOKUP($U149,'Regional splits'!$B$15:$R$22,AE$5,FALSE)</f>
        <v>0</v>
      </c>
      <c r="AF149" s="45">
        <f>VLOOKUP($U149,'Regional splits'!$B$15:$R$22,AF$5,FALSE)</f>
        <v>0</v>
      </c>
      <c r="AG149" s="45">
        <f>VLOOKUP($U149,'Regional splits'!$B$15:$R$22,AG$5,FALSE)</f>
        <v>0</v>
      </c>
      <c r="AH149" s="45">
        <f>VLOOKUP($U149,'Regional splits'!$B$15:$R$22,AH$5,FALSE)</f>
        <v>0</v>
      </c>
      <c r="AI149" s="45">
        <f>VLOOKUP($U149,'Regional splits'!$B$15:$R$22,AI$5,FALSE)</f>
        <v>0</v>
      </c>
      <c r="AJ149" s="45">
        <f>VLOOKUP($U149,'Regional splits'!$B$15:$R$22,AJ$5,FALSE)</f>
        <v>0</v>
      </c>
      <c r="AK149" s="45">
        <f>VLOOKUP($U149,'Regional splits'!$B$15:$R$22,AK$5,FALSE)</f>
        <v>0</v>
      </c>
      <c r="AL149" s="45">
        <f>VLOOKUP($U149,'Regional splits'!$B$15:$R$22,AL$5,FALSE)</f>
        <v>1</v>
      </c>
      <c r="AN149" s="3">
        <v>2014</v>
      </c>
      <c r="AP149">
        <f t="shared" ref="AP149:AY149" si="19">IF(ISNUMBER(SEARCH(AP$3,$AN149)),1,0)</f>
        <v>0</v>
      </c>
      <c r="AQ149">
        <f t="shared" si="19"/>
        <v>1</v>
      </c>
      <c r="AR149">
        <f t="shared" si="19"/>
        <v>0</v>
      </c>
      <c r="AS149">
        <f t="shared" si="19"/>
        <v>0</v>
      </c>
      <c r="AT149">
        <f t="shared" si="19"/>
        <v>0</v>
      </c>
      <c r="AU149">
        <f t="shared" si="19"/>
        <v>0</v>
      </c>
      <c r="AV149">
        <f t="shared" si="19"/>
        <v>0</v>
      </c>
      <c r="AW149">
        <f t="shared" si="19"/>
        <v>0</v>
      </c>
      <c r="AX149">
        <f t="shared" si="19"/>
        <v>0</v>
      </c>
      <c r="AY149">
        <f t="shared" si="19"/>
        <v>0</v>
      </c>
      <c r="BA149" s="31">
        <f>S149*COUNTIFS(AP149:AY149,"1",$AP$4:$AY$4,"TRUE")</f>
        <v>73677.576000000001</v>
      </c>
    </row>
    <row r="150" spans="2:53" x14ac:dyDescent="0.25">
      <c r="B150" s="23">
        <v>1</v>
      </c>
      <c r="C150" s="122"/>
      <c r="D150" s="26" t="s">
        <v>244</v>
      </c>
      <c r="E150" s="26" t="s">
        <v>238</v>
      </c>
      <c r="F150" s="39" t="s">
        <v>227</v>
      </c>
      <c r="J150" s="76"/>
      <c r="K150" s="76"/>
      <c r="M150" s="3">
        <v>30</v>
      </c>
      <c r="N150" s="1" t="s">
        <v>225</v>
      </c>
      <c r="O150" s="3">
        <v>1</v>
      </c>
      <c r="P150" s="1" t="s">
        <v>229</v>
      </c>
    </row>
    <row r="151" spans="2:53" x14ac:dyDescent="0.25">
      <c r="C151" s="122"/>
      <c r="J151" s="76"/>
      <c r="K151" s="76"/>
      <c r="M151" s="3" t="s">
        <v>50</v>
      </c>
      <c r="N151" s="1" t="s">
        <v>226</v>
      </c>
    </row>
    <row r="152" spans="2:53" x14ac:dyDescent="0.25">
      <c r="C152" s="122"/>
      <c r="J152" s="76"/>
      <c r="K152" s="76"/>
      <c r="M152" s="3">
        <v>1</v>
      </c>
      <c r="N152" s="1" t="s">
        <v>252</v>
      </c>
    </row>
    <row r="153" spans="2:53" ht="15.75" thickBot="1" x14ac:dyDescent="0.3">
      <c r="B153" s="23"/>
      <c r="C153" s="123"/>
      <c r="D153" s="26" t="s">
        <v>274</v>
      </c>
      <c r="E153" s="26" t="s">
        <v>11</v>
      </c>
      <c r="F153" s="32">
        <v>75</v>
      </c>
      <c r="G153" s="33" t="s">
        <v>276</v>
      </c>
      <c r="J153" s="76"/>
      <c r="K153" s="76"/>
      <c r="M153" s="3">
        <f>20*20</f>
        <v>400</v>
      </c>
      <c r="N153" s="1" t="s">
        <v>275</v>
      </c>
      <c r="Q153" s="26"/>
    </row>
    <row r="154" spans="2:53" ht="15.75" thickBot="1" x14ac:dyDescent="0.3">
      <c r="D154"/>
      <c r="E154"/>
      <c r="F154"/>
      <c r="G154"/>
      <c r="H154"/>
      <c r="I154"/>
      <c r="J154" s="12"/>
      <c r="K154" s="12"/>
      <c r="S154"/>
      <c r="BA154"/>
    </row>
    <row r="155" spans="2:53" x14ac:dyDescent="0.25">
      <c r="B155" s="23">
        <v>1</v>
      </c>
      <c r="C155" s="121" t="s">
        <v>581</v>
      </c>
      <c r="D155" s="26" t="s">
        <v>240</v>
      </c>
      <c r="E155" s="26" t="s">
        <v>241</v>
      </c>
      <c r="F155" s="39" t="s">
        <v>227</v>
      </c>
      <c r="J155" s="76"/>
      <c r="K155" s="76"/>
      <c r="M155" s="3">
        <v>20</v>
      </c>
      <c r="N155" s="1" t="s">
        <v>225</v>
      </c>
      <c r="O155" s="3">
        <v>2</v>
      </c>
      <c r="P155" s="1" t="s">
        <v>229</v>
      </c>
      <c r="S155" s="27">
        <f>(HLOOKUP(M156,$AR$19:$AU$31,$AO$20,FALSE)+ROUNDUP(M157,0)*(HLOOKUP(M156,$AR$19:$AU$31,$AO$22,FALSE)+HLOOKUP(M156,$AR$19:$AU$31,$AO$24,FALSE)+M155*HLOOKUP(M156,$AR$19:$AU$31,$AO$23,FALSE)+(M155+HLOOKUP(M156,$AR$19:$AU$31,$AO$27,FALSE))*HLOOKUP(M156,$AR$19:$AU$31,$AO$25,FALSE))+(M155+HLOOKUP(M156,$AR$19:$AU$31,$AO$28,FALSE))*IF(M157&gt;0.5,HLOOKUP(M156,$AR$19:$AU$31,$AO$30,FALSE),HLOOKUP(M156,$AR$19:$AU$31,$AO$31,FALSE)))*O155+F158*M158*O155</f>
        <v>266107.364</v>
      </c>
      <c r="U155" s="3" t="s">
        <v>176</v>
      </c>
      <c r="W155" s="45">
        <f>VLOOKUP($U155,'Regional splits'!$B$15:$R$22,W$5,FALSE)</f>
        <v>0</v>
      </c>
      <c r="X155" s="45">
        <f>VLOOKUP($U155,'Regional splits'!$B$15:$R$22,X$5,FALSE)</f>
        <v>0</v>
      </c>
      <c r="Y155" s="45">
        <f>VLOOKUP($U155,'Regional splits'!$B$15:$R$22,Y$5,FALSE)</f>
        <v>0</v>
      </c>
      <c r="Z155" s="45">
        <f>VLOOKUP($U155,'Regional splits'!$B$15:$R$22,Z$5,FALSE)</f>
        <v>0</v>
      </c>
      <c r="AA155" s="45">
        <f>VLOOKUP($U155,'Regional splits'!$B$15:$R$22,AA$5,FALSE)</f>
        <v>0</v>
      </c>
      <c r="AB155" s="45">
        <f>VLOOKUP($U155,'Regional splits'!$B$15:$R$22,AB$5,FALSE)</f>
        <v>0</v>
      </c>
      <c r="AC155" s="45">
        <f>VLOOKUP($U155,'Regional splits'!$B$15:$R$22,AC$5,FALSE)</f>
        <v>0</v>
      </c>
      <c r="AD155" s="45">
        <f>VLOOKUP($U155,'Regional splits'!$B$15:$R$22,AD$5,FALSE)</f>
        <v>0</v>
      </c>
      <c r="AE155" s="45">
        <f>VLOOKUP($U155,'Regional splits'!$B$15:$R$22,AE$5,FALSE)</f>
        <v>0</v>
      </c>
      <c r="AF155" s="45">
        <f>VLOOKUP($U155,'Regional splits'!$B$15:$R$22,AF$5,FALSE)</f>
        <v>0</v>
      </c>
      <c r="AG155" s="45">
        <f>VLOOKUP($U155,'Regional splits'!$B$15:$R$22,AG$5,FALSE)</f>
        <v>0</v>
      </c>
      <c r="AH155" s="45">
        <f>VLOOKUP($U155,'Regional splits'!$B$15:$R$22,AH$5,FALSE)</f>
        <v>0</v>
      </c>
      <c r="AI155" s="45">
        <f>VLOOKUP($U155,'Regional splits'!$B$15:$R$22,AI$5,FALSE)</f>
        <v>0</v>
      </c>
      <c r="AJ155" s="45">
        <f>VLOOKUP($U155,'Regional splits'!$B$15:$R$22,AJ$5,FALSE)</f>
        <v>0</v>
      </c>
      <c r="AK155" s="45">
        <f>VLOOKUP($U155,'Regional splits'!$B$15:$R$22,AK$5,FALSE)</f>
        <v>0</v>
      </c>
      <c r="AL155" s="45">
        <f>VLOOKUP($U155,'Regional splits'!$B$15:$R$22,AL$5,FALSE)</f>
        <v>1</v>
      </c>
      <c r="AN155" s="3" t="s">
        <v>547</v>
      </c>
      <c r="AP155">
        <f t="shared" ref="AP155:AY155" si="20">IF(ISNUMBER(SEARCH(AP$3,$AN155)),1,0)</f>
        <v>0</v>
      </c>
      <c r="AQ155">
        <f t="shared" si="20"/>
        <v>1</v>
      </c>
      <c r="AR155">
        <f t="shared" si="20"/>
        <v>0</v>
      </c>
      <c r="AS155">
        <f t="shared" si="20"/>
        <v>1</v>
      </c>
      <c r="AT155">
        <f t="shared" si="20"/>
        <v>0</v>
      </c>
      <c r="AU155">
        <f t="shared" si="20"/>
        <v>1</v>
      </c>
      <c r="AV155">
        <f t="shared" si="20"/>
        <v>0</v>
      </c>
      <c r="AW155">
        <f t="shared" si="20"/>
        <v>1</v>
      </c>
      <c r="AX155">
        <f t="shared" si="20"/>
        <v>0</v>
      </c>
      <c r="AY155">
        <f t="shared" si="20"/>
        <v>0</v>
      </c>
      <c r="BA155" s="31">
        <f>S155*COUNTIFS(AP155:AY155,"1",$AP$4:$AY$4,"TRUE")</f>
        <v>1064429.456</v>
      </c>
    </row>
    <row r="156" spans="2:53" x14ac:dyDescent="0.25">
      <c r="C156" s="122"/>
      <c r="J156" s="76"/>
      <c r="K156" s="76"/>
      <c r="M156" s="3" t="s">
        <v>47</v>
      </c>
      <c r="N156" s="1" t="s">
        <v>226</v>
      </c>
    </row>
    <row r="157" spans="2:53" x14ac:dyDescent="0.25">
      <c r="C157" s="122"/>
      <c r="E157" s="26" t="s">
        <v>852</v>
      </c>
      <c r="F157" s="117">
        <f>2*E31</f>
        <v>641.74400000000003</v>
      </c>
      <c r="J157" s="76"/>
      <c r="K157" s="76"/>
      <c r="M157" s="3">
        <v>5</v>
      </c>
      <c r="N157" s="1" t="s">
        <v>252</v>
      </c>
    </row>
    <row r="158" spans="2:53" ht="15.75" thickBot="1" x14ac:dyDescent="0.3">
      <c r="C158" s="123"/>
      <c r="E158" s="26" t="s">
        <v>112</v>
      </c>
      <c r="F158" s="27">
        <f>F297*(15/3)+F299*(6/3)+0.5*(F300+F301)*6/3</f>
        <v>122.29750000000001</v>
      </c>
      <c r="J158" s="76"/>
      <c r="K158" s="76"/>
      <c r="M158" s="3">
        <f>M155</f>
        <v>20</v>
      </c>
      <c r="N158" s="1" t="s">
        <v>284</v>
      </c>
    </row>
    <row r="159" spans="2:53" ht="15.75" thickBot="1" x14ac:dyDescent="0.3">
      <c r="J159" s="76"/>
      <c r="K159" s="76"/>
    </row>
    <row r="160" spans="2:53" ht="15" customHeight="1" x14ac:dyDescent="0.25">
      <c r="B160" s="23">
        <v>1</v>
      </c>
      <c r="C160" s="121" t="s">
        <v>864</v>
      </c>
      <c r="D160" s="26" t="s">
        <v>242</v>
      </c>
      <c r="E160" s="26" t="s">
        <v>68</v>
      </c>
      <c r="F160" s="32">
        <v>1500</v>
      </c>
      <c r="G160" s="33" t="s">
        <v>189</v>
      </c>
      <c r="J160" s="76"/>
      <c r="K160" s="76"/>
      <c r="M160" s="3">
        <v>0</v>
      </c>
      <c r="N160" s="1" t="s">
        <v>223</v>
      </c>
      <c r="O160" s="3">
        <v>0</v>
      </c>
      <c r="P160" s="1" t="s">
        <v>224</v>
      </c>
      <c r="S160" s="27">
        <f>(HLOOKUP(M162,$AR$19:$AU$31,$AO$20,FALSE)+ROUNDUP(M163,0)*(HLOOKUP(M162,$AR$19:$AU$31,$AO$22,FALSE)+HLOOKUP(M162,$AR$19:$AU$31,$AO$24,FALSE)+M161*HLOOKUP(M162,$AR$19:$AU$31,$AO$23,FALSE)+(M161+HLOOKUP(M162,$AR$19:$AU$31,$AO$27,FALSE))*HLOOKUP(M162,$AR$19:$AU$31,$AO$25,FALSE))+(M161+HLOOKUP(M162,$AR$19:$AU$31,$AO$28,FALSE))*IF(M163&gt;0.5,HLOOKUP(M162,$AR$19:$AU$31,$AO$30,FALSE),HLOOKUP(M162,$AR$19:$AU$31,$AO$31,FALSE)))*O161+F160*M160*O160+F164*M164</f>
        <v>66702.576000000001</v>
      </c>
      <c r="U160" s="3" t="s">
        <v>176</v>
      </c>
      <c r="W160" s="45">
        <f>VLOOKUP($U160,'Regional splits'!$B$15:$R$22,W$5,FALSE)</f>
        <v>0</v>
      </c>
      <c r="X160" s="45">
        <f>VLOOKUP($U160,'Regional splits'!$B$15:$R$22,X$5,FALSE)</f>
        <v>0</v>
      </c>
      <c r="Y160" s="45">
        <f>VLOOKUP($U160,'Regional splits'!$B$15:$R$22,Y$5,FALSE)</f>
        <v>0</v>
      </c>
      <c r="Z160" s="45">
        <f>VLOOKUP($U160,'Regional splits'!$B$15:$R$22,Z$5,FALSE)</f>
        <v>0</v>
      </c>
      <c r="AA160" s="45">
        <f>VLOOKUP($U160,'Regional splits'!$B$15:$R$22,AA$5,FALSE)</f>
        <v>0</v>
      </c>
      <c r="AB160" s="45">
        <f>VLOOKUP($U160,'Regional splits'!$B$15:$R$22,AB$5,FALSE)</f>
        <v>0</v>
      </c>
      <c r="AC160" s="45">
        <f>VLOOKUP($U160,'Regional splits'!$B$15:$R$22,AC$5,FALSE)</f>
        <v>0</v>
      </c>
      <c r="AD160" s="45">
        <f>VLOOKUP($U160,'Regional splits'!$B$15:$R$22,AD$5,FALSE)</f>
        <v>0</v>
      </c>
      <c r="AE160" s="45">
        <f>VLOOKUP($U160,'Regional splits'!$B$15:$R$22,AE$5,FALSE)</f>
        <v>0</v>
      </c>
      <c r="AF160" s="45">
        <f>VLOOKUP($U160,'Regional splits'!$B$15:$R$22,AF$5,FALSE)</f>
        <v>0</v>
      </c>
      <c r="AG160" s="45">
        <f>VLOOKUP($U160,'Regional splits'!$B$15:$R$22,AG$5,FALSE)</f>
        <v>0</v>
      </c>
      <c r="AH160" s="45">
        <f>VLOOKUP($U160,'Regional splits'!$B$15:$R$22,AH$5,FALSE)</f>
        <v>0</v>
      </c>
      <c r="AI160" s="45">
        <f>VLOOKUP($U160,'Regional splits'!$B$15:$R$22,AI$5,FALSE)</f>
        <v>0</v>
      </c>
      <c r="AJ160" s="45">
        <f>VLOOKUP($U160,'Regional splits'!$B$15:$R$22,AJ$5,FALSE)</f>
        <v>0</v>
      </c>
      <c r="AK160" s="45">
        <f>VLOOKUP($U160,'Regional splits'!$B$15:$R$22,AK$5,FALSE)</f>
        <v>0</v>
      </c>
      <c r="AL160" s="45">
        <f>VLOOKUP($U160,'Regional splits'!$B$15:$R$22,AL$5,FALSE)</f>
        <v>1</v>
      </c>
      <c r="AN160" s="3" t="s">
        <v>842</v>
      </c>
      <c r="AP160">
        <f t="shared" ref="AP160:AY160" si="21">IF(ISNUMBER(SEARCH(AP$3,$AN160)),1,0)</f>
        <v>1</v>
      </c>
      <c r="AQ160">
        <f t="shared" si="21"/>
        <v>1</v>
      </c>
      <c r="AR160">
        <f t="shared" si="21"/>
        <v>0</v>
      </c>
      <c r="AS160">
        <f t="shared" si="21"/>
        <v>0</v>
      </c>
      <c r="AT160">
        <f t="shared" si="21"/>
        <v>1</v>
      </c>
      <c r="AU160">
        <f t="shared" si="21"/>
        <v>0</v>
      </c>
      <c r="AV160">
        <f t="shared" si="21"/>
        <v>0</v>
      </c>
      <c r="AW160">
        <f t="shared" si="21"/>
        <v>0</v>
      </c>
      <c r="AX160">
        <f t="shared" si="21"/>
        <v>0</v>
      </c>
      <c r="AY160">
        <f t="shared" si="21"/>
        <v>0</v>
      </c>
      <c r="BA160" s="31">
        <f>S160*COUNTIFS(AP160:AY160,"1",$AP$4:$AY$4,"TRUE")</f>
        <v>200107.728</v>
      </c>
    </row>
    <row r="161" spans="2:53" x14ac:dyDescent="0.25">
      <c r="B161" s="23">
        <v>1</v>
      </c>
      <c r="C161" s="122"/>
      <c r="D161" s="26" t="s">
        <v>244</v>
      </c>
      <c r="E161" s="26" t="s">
        <v>238</v>
      </c>
      <c r="F161" s="39" t="s">
        <v>227</v>
      </c>
      <c r="J161" s="76"/>
      <c r="K161" s="76"/>
      <c r="M161" s="3">
        <v>50</v>
      </c>
      <c r="N161" s="1" t="s">
        <v>225</v>
      </c>
      <c r="O161" s="3">
        <v>1</v>
      </c>
      <c r="P161" s="1" t="s">
        <v>229</v>
      </c>
    </row>
    <row r="162" spans="2:53" x14ac:dyDescent="0.25">
      <c r="C162" s="122"/>
      <c r="J162" s="76"/>
      <c r="K162" s="76"/>
      <c r="M162" s="3" t="s">
        <v>50</v>
      </c>
      <c r="N162" s="1" t="s">
        <v>226</v>
      </c>
    </row>
    <row r="163" spans="2:53" x14ac:dyDescent="0.25">
      <c r="C163" s="122"/>
      <c r="J163" s="76"/>
      <c r="K163" s="76"/>
      <c r="M163" s="3">
        <v>1</v>
      </c>
      <c r="N163" s="1" t="s">
        <v>252</v>
      </c>
    </row>
    <row r="164" spans="2:53" ht="15.75" thickBot="1" x14ac:dyDescent="0.3">
      <c r="B164" s="23"/>
      <c r="C164" s="123"/>
      <c r="D164" s="26" t="s">
        <v>274</v>
      </c>
      <c r="E164" s="26" t="s">
        <v>11</v>
      </c>
      <c r="F164" s="32">
        <v>75</v>
      </c>
      <c r="G164" s="33" t="s">
        <v>276</v>
      </c>
      <c r="J164" s="76" t="s">
        <v>750</v>
      </c>
      <c r="K164" s="76"/>
      <c r="M164" s="3">
        <f>20*10+25+10*10</f>
        <v>325</v>
      </c>
      <c r="N164" s="1" t="s">
        <v>275</v>
      </c>
    </row>
    <row r="165" spans="2:53" ht="15.75" thickBot="1" x14ac:dyDescent="0.3">
      <c r="D165"/>
      <c r="E165"/>
      <c r="F165"/>
      <c r="G165"/>
      <c r="H165"/>
      <c r="I165"/>
      <c r="J165" s="12"/>
      <c r="K165" s="12"/>
      <c r="S165"/>
      <c r="BA165"/>
    </row>
    <row r="166" spans="2:53" x14ac:dyDescent="0.25">
      <c r="B166" s="23">
        <v>1</v>
      </c>
      <c r="C166" s="121" t="s">
        <v>575</v>
      </c>
      <c r="D166" s="26" t="s">
        <v>240</v>
      </c>
      <c r="E166" s="26" t="s">
        <v>241</v>
      </c>
      <c r="F166" s="39" t="s">
        <v>227</v>
      </c>
      <c r="J166" s="76"/>
      <c r="K166" s="76"/>
      <c r="M166" s="3">
        <v>20</v>
      </c>
      <c r="N166" s="1" t="s">
        <v>225</v>
      </c>
      <c r="O166" s="3">
        <v>4</v>
      </c>
      <c r="P166" s="1" t="s">
        <v>229</v>
      </c>
      <c r="S166" s="27">
        <f>(HLOOKUP(M167,$AR$19:$AU$31,$AO$20,FALSE)+ROUNDUP(M168,0)*(HLOOKUP(M167,$AR$19:$AU$31,$AO$22,FALSE)+HLOOKUP(M167,$AR$19:$AU$31,$AO$24,FALSE)+M166*HLOOKUP(M167,$AR$19:$AU$31,$AO$23,FALSE)+(M166+HLOOKUP(M167,$AR$19:$AU$31,$AO$27,FALSE))*HLOOKUP(M167,$AR$19:$AU$31,$AO$25,FALSE))+(M166+HLOOKUP(M167,$AR$19:$AU$31,$AO$28,FALSE))*IF(M168&gt;0.5,HLOOKUP(M167,$AR$19:$AU$31,$AO$30,FALSE),HLOOKUP(M167,$AR$19:$AU$31,$AO$31,FALSE)))*O166+F169*M169*O166+F170*M170*O170*O166</f>
        <v>358132.65600000002</v>
      </c>
      <c r="U166" s="3" t="s">
        <v>176</v>
      </c>
      <c r="W166" s="45">
        <f>VLOOKUP($U166,'Regional splits'!$B$15:$R$22,W$5,FALSE)</f>
        <v>0</v>
      </c>
      <c r="X166" s="45">
        <f>VLOOKUP($U166,'Regional splits'!$B$15:$R$22,X$5,FALSE)</f>
        <v>0</v>
      </c>
      <c r="Y166" s="45">
        <f>VLOOKUP($U166,'Regional splits'!$B$15:$R$22,Y$5,FALSE)</f>
        <v>0</v>
      </c>
      <c r="Z166" s="45">
        <f>VLOOKUP($U166,'Regional splits'!$B$15:$R$22,Z$5,FALSE)</f>
        <v>0</v>
      </c>
      <c r="AA166" s="45">
        <f>VLOOKUP($U166,'Regional splits'!$B$15:$R$22,AA$5,FALSE)</f>
        <v>0</v>
      </c>
      <c r="AB166" s="45">
        <f>VLOOKUP($U166,'Regional splits'!$B$15:$R$22,AB$5,FALSE)</f>
        <v>0</v>
      </c>
      <c r="AC166" s="45">
        <f>VLOOKUP($U166,'Regional splits'!$B$15:$R$22,AC$5,FALSE)</f>
        <v>0</v>
      </c>
      <c r="AD166" s="45">
        <f>VLOOKUP($U166,'Regional splits'!$B$15:$R$22,AD$5,FALSE)</f>
        <v>0</v>
      </c>
      <c r="AE166" s="45">
        <f>VLOOKUP($U166,'Regional splits'!$B$15:$R$22,AE$5,FALSE)</f>
        <v>0</v>
      </c>
      <c r="AF166" s="45">
        <f>VLOOKUP($U166,'Regional splits'!$B$15:$R$22,AF$5,FALSE)</f>
        <v>0</v>
      </c>
      <c r="AG166" s="45">
        <f>VLOOKUP($U166,'Regional splits'!$B$15:$R$22,AG$5,FALSE)</f>
        <v>0</v>
      </c>
      <c r="AH166" s="45">
        <f>VLOOKUP($U166,'Regional splits'!$B$15:$R$22,AH$5,FALSE)</f>
        <v>0</v>
      </c>
      <c r="AI166" s="45">
        <f>VLOOKUP($U166,'Regional splits'!$B$15:$R$22,AI$5,FALSE)</f>
        <v>0</v>
      </c>
      <c r="AJ166" s="45">
        <f>VLOOKUP($U166,'Regional splits'!$B$15:$R$22,AJ$5,FALSE)</f>
        <v>0</v>
      </c>
      <c r="AK166" s="45">
        <f>VLOOKUP($U166,'Regional splits'!$B$15:$R$22,AK$5,FALSE)</f>
        <v>0</v>
      </c>
      <c r="AL166" s="45">
        <f>VLOOKUP($U166,'Regional splits'!$B$15:$R$22,AL$5,FALSE)</f>
        <v>1</v>
      </c>
      <c r="AN166" s="3" t="s">
        <v>574</v>
      </c>
      <c r="AP166">
        <f t="shared" ref="AP166:AY166" si="22">IF(ISNUMBER(SEARCH(AP$3,$AN166)),1,0)</f>
        <v>1</v>
      </c>
      <c r="AQ166">
        <f t="shared" si="22"/>
        <v>1</v>
      </c>
      <c r="AR166">
        <f t="shared" si="22"/>
        <v>1</v>
      </c>
      <c r="AS166">
        <f t="shared" si="22"/>
        <v>1</v>
      </c>
      <c r="AT166">
        <f t="shared" si="22"/>
        <v>0</v>
      </c>
      <c r="AU166">
        <f t="shared" si="22"/>
        <v>0</v>
      </c>
      <c r="AV166">
        <f t="shared" si="22"/>
        <v>0</v>
      </c>
      <c r="AW166">
        <f t="shared" si="22"/>
        <v>0</v>
      </c>
      <c r="AX166">
        <f t="shared" si="22"/>
        <v>0</v>
      </c>
      <c r="AY166">
        <f t="shared" si="22"/>
        <v>0</v>
      </c>
      <c r="BA166" s="31">
        <f>S166*COUNTIFS(AP166:AY166,"1",$AP$4:$AY$4,"TRUE")</f>
        <v>1432530.6240000001</v>
      </c>
    </row>
    <row r="167" spans="2:53" x14ac:dyDescent="0.25">
      <c r="C167" s="122"/>
      <c r="J167" s="76"/>
      <c r="K167" s="76"/>
      <c r="M167" s="3" t="s">
        <v>50</v>
      </c>
      <c r="N167" s="1" t="s">
        <v>226</v>
      </c>
    </row>
    <row r="168" spans="2:53" x14ac:dyDescent="0.25">
      <c r="C168" s="122"/>
      <c r="J168" s="76"/>
      <c r="K168" s="76"/>
      <c r="M168" s="3">
        <v>5</v>
      </c>
      <c r="N168" s="1" t="s">
        <v>252</v>
      </c>
    </row>
    <row r="169" spans="2:53" x14ac:dyDescent="0.25">
      <c r="C169" s="122"/>
      <c r="E169" s="26" t="s">
        <v>112</v>
      </c>
      <c r="F169" s="27">
        <f>$F$297*(15/3)+$F$299*(6/3)</f>
        <v>52.855000000000004</v>
      </c>
      <c r="J169" s="76"/>
      <c r="K169" s="76"/>
      <c r="M169" s="3">
        <f>M166</f>
        <v>20</v>
      </c>
      <c r="N169" s="1" t="s">
        <v>284</v>
      </c>
    </row>
    <row r="170" spans="2:53" ht="15.75" thickBot="1" x14ac:dyDescent="0.3">
      <c r="C170" s="123"/>
      <c r="E170" s="41" t="s">
        <v>386</v>
      </c>
      <c r="F170" s="32">
        <f>F23</f>
        <v>700</v>
      </c>
      <c r="G170" s="36" t="s">
        <v>307</v>
      </c>
      <c r="J170" s="76"/>
      <c r="K170" s="76"/>
      <c r="M170" s="3">
        <v>0</v>
      </c>
      <c r="N170" s="1" t="s">
        <v>305</v>
      </c>
      <c r="O170" s="3"/>
      <c r="P170" s="1" t="s">
        <v>416</v>
      </c>
    </row>
    <row r="171" spans="2:53" ht="15.75" thickBot="1" x14ac:dyDescent="0.3">
      <c r="D171"/>
      <c r="E171"/>
      <c r="F171"/>
      <c r="G171"/>
      <c r="H171"/>
      <c r="I171"/>
      <c r="J171" s="12"/>
      <c r="K171" s="12"/>
      <c r="S171"/>
      <c r="BA171"/>
    </row>
    <row r="172" spans="2:53" x14ac:dyDescent="0.25">
      <c r="B172" s="23">
        <v>1</v>
      </c>
      <c r="C172" s="121" t="s">
        <v>578</v>
      </c>
      <c r="D172" s="26" t="s">
        <v>234</v>
      </c>
      <c r="E172" s="26" t="s">
        <v>241</v>
      </c>
      <c r="F172" s="39" t="s">
        <v>227</v>
      </c>
      <c r="J172" s="76"/>
      <c r="K172" s="76"/>
      <c r="M172" s="3">
        <v>10</v>
      </c>
      <c r="N172" s="1" t="s">
        <v>225</v>
      </c>
      <c r="O172" s="3">
        <v>5</v>
      </c>
      <c r="P172" s="1" t="s">
        <v>229</v>
      </c>
      <c r="S172" s="27">
        <f>(HLOOKUP(M173,$AR$19:$AU$31,$AO$20,FALSE)+ROUNDUP(M174,0)*(HLOOKUP(M173,$AR$19:$AU$31,$AO$22,FALSE)+HLOOKUP(M173,$AR$19:$AU$31,$AO$24,FALSE)+M172*HLOOKUP(M173,$AR$19:$AU$31,$AO$23,FALSE)+(M172+HLOOKUP(M173,$AR$19:$AU$31,$AO$27,FALSE))*HLOOKUP(M173,$AR$19:$AU$31,$AO$25,FALSE))+(M172+HLOOKUP(M173,$AR$19:$AU$31,$AO$28,FALSE))*IF(M174&gt;0.5,HLOOKUP(M173,$AR$19:$AU$31,$AO$30,FALSE),HLOOKUP(M173,$AR$19:$AU$31,$AO$31,FALSE)))*O172+F175*M175*O175*O172</f>
        <v>264766.49600000004</v>
      </c>
      <c r="U172" s="3" t="s">
        <v>177</v>
      </c>
      <c r="W172" s="45">
        <f>VLOOKUP($U172,'Regional splits'!$B$15:$R$22,W$5,FALSE)</f>
        <v>0.1</v>
      </c>
      <c r="X172" s="45">
        <f>VLOOKUP($U172,'Regional splits'!$B$15:$R$22,X$5,FALSE)</f>
        <v>0.1</v>
      </c>
      <c r="Y172" s="45">
        <f>VLOOKUP($U172,'Regional splits'!$B$15:$R$22,Y$5,FALSE)</f>
        <v>0.1</v>
      </c>
      <c r="Z172" s="45">
        <f>VLOOKUP($U172,'Regional splits'!$B$15:$R$22,Z$5,FALSE)</f>
        <v>0.1</v>
      </c>
      <c r="AA172" s="45">
        <f>VLOOKUP($U172,'Regional splits'!$B$15:$R$22,AA$5,FALSE)</f>
        <v>0.1</v>
      </c>
      <c r="AB172" s="45">
        <f>VLOOKUP($U172,'Regional splits'!$B$15:$R$22,AB$5,FALSE)</f>
        <v>0.1</v>
      </c>
      <c r="AC172" s="45">
        <f>VLOOKUP($U172,'Regional splits'!$B$15:$R$22,AC$5,FALSE)</f>
        <v>0.1</v>
      </c>
      <c r="AD172" s="45">
        <f>VLOOKUP($U172,'Regional splits'!$B$15:$R$22,AD$5,FALSE)</f>
        <v>0.1</v>
      </c>
      <c r="AE172" s="45">
        <f>VLOOKUP($U172,'Regional splits'!$B$15:$R$22,AE$5,FALSE)</f>
        <v>0.1</v>
      </c>
      <c r="AF172" s="45">
        <f>VLOOKUP($U172,'Regional splits'!$B$15:$R$22,AF$5,FALSE)</f>
        <v>0.1</v>
      </c>
      <c r="AG172" s="45">
        <f>VLOOKUP($U172,'Regional splits'!$B$15:$R$22,AG$5,FALSE)</f>
        <v>0</v>
      </c>
      <c r="AH172" s="45">
        <f>VLOOKUP($U172,'Regional splits'!$B$15:$R$22,AH$5,FALSE)</f>
        <v>0</v>
      </c>
      <c r="AI172" s="45">
        <f>VLOOKUP($U172,'Regional splits'!$B$15:$R$22,AI$5,FALSE)</f>
        <v>0</v>
      </c>
      <c r="AJ172" s="45">
        <f>VLOOKUP($U172,'Regional splits'!$B$15:$R$22,AJ$5,FALSE)</f>
        <v>0</v>
      </c>
      <c r="AK172" s="45">
        <f>VLOOKUP($U172,'Regional splits'!$B$15:$R$22,AK$5,FALSE)</f>
        <v>0</v>
      </c>
      <c r="AL172" s="45">
        <f>VLOOKUP($U172,'Regional splits'!$B$15:$R$22,AL$5,FALSE)</f>
        <v>0</v>
      </c>
      <c r="AN172" s="3" t="s">
        <v>579</v>
      </c>
      <c r="AP172">
        <f t="shared" ref="AP172:AY172" si="23">IF(ISNUMBER(SEARCH(AP$3,$AN172)),1,0)</f>
        <v>0</v>
      </c>
      <c r="AQ172">
        <f t="shared" si="23"/>
        <v>1</v>
      </c>
      <c r="AR172">
        <f t="shared" si="23"/>
        <v>1</v>
      </c>
      <c r="AS172">
        <f t="shared" si="23"/>
        <v>0</v>
      </c>
      <c r="AT172">
        <f t="shared" si="23"/>
        <v>0</v>
      </c>
      <c r="AU172">
        <f t="shared" si="23"/>
        <v>0</v>
      </c>
      <c r="AV172">
        <f t="shared" si="23"/>
        <v>0</v>
      </c>
      <c r="AW172">
        <f t="shared" si="23"/>
        <v>0</v>
      </c>
      <c r="AX172">
        <f t="shared" si="23"/>
        <v>0</v>
      </c>
      <c r="AY172">
        <f t="shared" si="23"/>
        <v>0</v>
      </c>
      <c r="BA172" s="31">
        <f>S172*COUNTIFS(AP172:AY172,"1",$AP$4:$AY$4,"TRUE")</f>
        <v>529532.99200000009</v>
      </c>
    </row>
    <row r="173" spans="2:53" x14ac:dyDescent="0.25">
      <c r="C173" s="122"/>
      <c r="J173" s="76"/>
      <c r="K173" s="76"/>
      <c r="M173" s="3" t="s">
        <v>51</v>
      </c>
      <c r="N173" s="1" t="s">
        <v>226</v>
      </c>
    </row>
    <row r="174" spans="2:53" x14ac:dyDescent="0.25">
      <c r="C174" s="122"/>
      <c r="J174" s="76"/>
      <c r="K174" s="76"/>
      <c r="M174" s="3">
        <v>5</v>
      </c>
      <c r="N174" s="1" t="s">
        <v>252</v>
      </c>
    </row>
    <row r="175" spans="2:53" ht="30.75" customHeight="1" thickBot="1" x14ac:dyDescent="0.3">
      <c r="C175" s="123"/>
      <c r="E175" s="41" t="s">
        <v>386</v>
      </c>
      <c r="F175" s="32">
        <f>F23</f>
        <v>700</v>
      </c>
      <c r="G175" s="36" t="s">
        <v>307</v>
      </c>
      <c r="J175" s="76"/>
      <c r="K175" s="76"/>
      <c r="M175" s="3">
        <v>2</v>
      </c>
      <c r="N175" s="1" t="s">
        <v>305</v>
      </c>
      <c r="O175" s="3">
        <f>M172</f>
        <v>10</v>
      </c>
      <c r="P175" s="1" t="s">
        <v>416</v>
      </c>
    </row>
    <row r="176" spans="2:53" ht="15.75" thickBot="1" x14ac:dyDescent="0.3">
      <c r="D176"/>
      <c r="E176"/>
      <c r="F176"/>
      <c r="G176"/>
      <c r="H176"/>
      <c r="I176"/>
      <c r="J176" s="12"/>
      <c r="K176" s="12"/>
      <c r="S176"/>
      <c r="BA176"/>
    </row>
    <row r="177" spans="2:60" x14ac:dyDescent="0.25">
      <c r="B177" s="23">
        <v>1</v>
      </c>
      <c r="C177" s="121" t="s">
        <v>577</v>
      </c>
      <c r="D177" s="26" t="s">
        <v>235</v>
      </c>
      <c r="E177" s="26" t="s">
        <v>241</v>
      </c>
      <c r="F177" s="39" t="s">
        <v>227</v>
      </c>
      <c r="J177" s="76"/>
      <c r="K177" s="76"/>
      <c r="M177" s="3">
        <v>25</v>
      </c>
      <c r="N177" s="1" t="s">
        <v>225</v>
      </c>
      <c r="O177" s="3">
        <v>20</v>
      </c>
      <c r="P177" s="1" t="s">
        <v>229</v>
      </c>
      <c r="S177" s="27">
        <f>(HLOOKUP(M178,$AR$19:$AU$31,$AO$20,FALSE)+ROUNDUP(M179,0)*(HLOOKUP(M178,$AR$19:$AU$31,$AO$22,FALSE)+HLOOKUP(M178,$AR$19:$AU$31,$AO$24,FALSE)+M177*HLOOKUP(M178,$AR$19:$AU$31,$AO$23,FALSE)+(M177+HLOOKUP(M178,$AR$19:$AU$31,$AO$27,FALSE))*HLOOKUP(M178,$AR$19:$AU$31,$AO$25,FALSE))+(M177+HLOOKUP(M178,$AR$19:$AU$31,$AO$28,FALSE))*IF(M179&gt;0.5,HLOOKUP(M178,$AR$19:$AU$31,$AO$30,FALSE),HLOOKUP(M178,$AR$19:$AU$31,$AO$31,FALSE)))*O177+F180*M180*O177+F181*M181*O181*O177</f>
        <v>3898293.4840000002</v>
      </c>
      <c r="U177" s="3" t="s">
        <v>22</v>
      </c>
      <c r="W177" s="45">
        <f>VLOOKUP($U177,'Regional splits'!$B$15:$R$22,W$5,FALSE)</f>
        <v>8.3333333333333329E-2</v>
      </c>
      <c r="X177" s="45">
        <f>VLOOKUP($U177,'Regional splits'!$B$15:$R$22,X$5,FALSE)</f>
        <v>0.1388888888888889</v>
      </c>
      <c r="Y177" s="45">
        <f>VLOOKUP($U177,'Regional splits'!$B$15:$R$22,Y$5,FALSE)</f>
        <v>9.7222222222222224E-2</v>
      </c>
      <c r="Z177" s="45">
        <f>VLOOKUP($U177,'Regional splits'!$B$15:$R$22,Z$5,FALSE)</f>
        <v>9.7222222222222224E-2</v>
      </c>
      <c r="AA177" s="45">
        <f>VLOOKUP($U177,'Regional splits'!$B$15:$R$22,AA$5,FALSE)</f>
        <v>5.5555555555555552E-2</v>
      </c>
      <c r="AB177" s="45">
        <f>VLOOKUP($U177,'Regional splits'!$B$15:$R$22,AB$5,FALSE)</f>
        <v>6.9444444444444448E-2</v>
      </c>
      <c r="AC177" s="45">
        <f>VLOOKUP($U177,'Regional splits'!$B$15:$R$22,AC$5,FALSE)</f>
        <v>0.1111111111111111</v>
      </c>
      <c r="AD177" s="45">
        <f>VLOOKUP($U177,'Regional splits'!$B$15:$R$22,AD$5,FALSE)</f>
        <v>9.7222222222222224E-2</v>
      </c>
      <c r="AE177" s="45">
        <f>VLOOKUP($U177,'Regional splits'!$B$15:$R$22,AE$5,FALSE)</f>
        <v>0.15277777777777779</v>
      </c>
      <c r="AF177" s="45">
        <f>VLOOKUP($U177,'Regional splits'!$B$15:$R$22,AF$5,FALSE)</f>
        <v>9.7222222222222224E-2</v>
      </c>
      <c r="AG177" s="45">
        <f>VLOOKUP($U177,'Regional splits'!$B$15:$R$22,AG$5,FALSE)</f>
        <v>0</v>
      </c>
      <c r="AH177" s="45">
        <f>VLOOKUP($U177,'Regional splits'!$B$15:$R$22,AH$5,FALSE)</f>
        <v>0</v>
      </c>
      <c r="AI177" s="45">
        <f>VLOOKUP($U177,'Regional splits'!$B$15:$R$22,AI$5,FALSE)</f>
        <v>0</v>
      </c>
      <c r="AJ177" s="45">
        <f>VLOOKUP($U177,'Regional splits'!$B$15:$R$22,AJ$5,FALSE)</f>
        <v>0</v>
      </c>
      <c r="AK177" s="45">
        <f>VLOOKUP($U177,'Regional splits'!$B$15:$R$22,AK$5,FALSE)</f>
        <v>0</v>
      </c>
      <c r="AL177" s="45">
        <f>VLOOKUP($U177,'Regional splits'!$B$15:$R$22,AL$5,FALSE)</f>
        <v>0</v>
      </c>
      <c r="AN177" s="3" t="s">
        <v>222</v>
      </c>
      <c r="AP177">
        <f t="shared" ref="AP177:AY177" si="24">IF(ISNUMBER(SEARCH(AP$3,$AN177)),1,0)</f>
        <v>1</v>
      </c>
      <c r="AQ177">
        <f t="shared" si="24"/>
        <v>1</v>
      </c>
      <c r="AR177">
        <f t="shared" si="24"/>
        <v>1</v>
      </c>
      <c r="AS177">
        <f t="shared" si="24"/>
        <v>1</v>
      </c>
      <c r="AT177">
        <f t="shared" si="24"/>
        <v>1</v>
      </c>
      <c r="AU177">
        <f t="shared" si="24"/>
        <v>1</v>
      </c>
      <c r="AV177">
        <f t="shared" si="24"/>
        <v>1</v>
      </c>
      <c r="AW177">
        <f t="shared" si="24"/>
        <v>1</v>
      </c>
      <c r="AX177">
        <f t="shared" si="24"/>
        <v>0</v>
      </c>
      <c r="AY177">
        <f t="shared" si="24"/>
        <v>0</v>
      </c>
      <c r="BA177" s="31">
        <f>S177*COUNTIFS(AP177:AY177,"1",$AP$4:$AY$4,"TRUE")</f>
        <v>31186347.872000001</v>
      </c>
    </row>
    <row r="178" spans="2:60" x14ac:dyDescent="0.25">
      <c r="C178" s="122"/>
      <c r="J178" s="76"/>
      <c r="K178" s="76"/>
      <c r="M178" s="3" t="s">
        <v>51</v>
      </c>
      <c r="N178" s="1" t="s">
        <v>226</v>
      </c>
      <c r="BH178" s="81"/>
    </row>
    <row r="179" spans="2:60" x14ac:dyDescent="0.25">
      <c r="C179" s="122"/>
      <c r="J179" s="76"/>
      <c r="K179" s="76"/>
      <c r="M179" s="3">
        <v>12</v>
      </c>
      <c r="N179" s="1" t="s">
        <v>252</v>
      </c>
      <c r="BH179" s="81"/>
    </row>
    <row r="180" spans="2:60" x14ac:dyDescent="0.25">
      <c r="C180" s="122"/>
      <c r="E180" s="26" t="s">
        <v>112</v>
      </c>
      <c r="F180" s="27">
        <f>F169</f>
        <v>52.855000000000004</v>
      </c>
      <c r="J180" s="76"/>
      <c r="K180" s="76"/>
      <c r="M180" s="3">
        <f>M177</f>
        <v>25</v>
      </c>
      <c r="N180" s="1" t="s">
        <v>284</v>
      </c>
      <c r="BH180" s="81"/>
    </row>
    <row r="181" spans="2:60" ht="15.75" thickBot="1" x14ac:dyDescent="0.3">
      <c r="C181" s="123"/>
      <c r="E181" s="41" t="s">
        <v>386</v>
      </c>
      <c r="F181" s="32">
        <f>F23</f>
        <v>700</v>
      </c>
      <c r="G181" s="36" t="s">
        <v>307</v>
      </c>
      <c r="J181" s="76"/>
      <c r="K181" s="76"/>
      <c r="M181" s="3">
        <v>2</v>
      </c>
      <c r="N181" s="1" t="s">
        <v>305</v>
      </c>
      <c r="O181" s="3">
        <f>M177/5</f>
        <v>5</v>
      </c>
      <c r="P181" s="1" t="s">
        <v>416</v>
      </c>
    </row>
    <row r="182" spans="2:60" ht="15.75" thickBot="1" x14ac:dyDescent="0.3">
      <c r="D182"/>
      <c r="E182"/>
      <c r="F182"/>
      <c r="G182"/>
      <c r="H182"/>
      <c r="I182"/>
      <c r="J182" s="12"/>
      <c r="K182" s="12"/>
      <c r="S182"/>
      <c r="BA182"/>
    </row>
    <row r="183" spans="2:60" x14ac:dyDescent="0.25">
      <c r="B183" s="23">
        <v>1</v>
      </c>
      <c r="C183" s="121" t="s">
        <v>858</v>
      </c>
      <c r="D183" s="26" t="s">
        <v>94</v>
      </c>
      <c r="F183" s="32">
        <f>337*5.4</f>
        <v>1819.8000000000002</v>
      </c>
      <c r="H183" s="38"/>
      <c r="J183" s="76" t="s">
        <v>535</v>
      </c>
      <c r="K183" s="76" t="s">
        <v>536</v>
      </c>
      <c r="M183" s="3">
        <f>120+5*20</f>
        <v>220</v>
      </c>
      <c r="N183" s="6" t="s">
        <v>538</v>
      </c>
      <c r="P183" s="6"/>
      <c r="S183" s="27">
        <f>SUMPRODUCT(F183:F185,M183:M185)</f>
        <v>667656</v>
      </c>
      <c r="U183" s="3" t="s">
        <v>177</v>
      </c>
      <c r="W183" s="45">
        <f>VLOOKUP($U183,'Regional splits'!$B$15:$R$22,W$5,FALSE)</f>
        <v>0.1</v>
      </c>
      <c r="X183" s="45">
        <f>VLOOKUP($U183,'Regional splits'!$B$15:$R$22,X$5,FALSE)</f>
        <v>0.1</v>
      </c>
      <c r="Y183" s="45">
        <f>VLOOKUP($U183,'Regional splits'!$B$15:$R$22,Y$5,FALSE)</f>
        <v>0.1</v>
      </c>
      <c r="Z183" s="45">
        <f>VLOOKUP($U183,'Regional splits'!$B$15:$R$22,Z$5,FALSE)</f>
        <v>0.1</v>
      </c>
      <c r="AA183" s="45">
        <f>VLOOKUP($U183,'Regional splits'!$B$15:$R$22,AA$5,FALSE)</f>
        <v>0.1</v>
      </c>
      <c r="AB183" s="45">
        <f>VLOOKUP($U183,'Regional splits'!$B$15:$R$22,AB$5,FALSE)</f>
        <v>0.1</v>
      </c>
      <c r="AC183" s="45">
        <f>VLOOKUP($U183,'Regional splits'!$B$15:$R$22,AC$5,FALSE)</f>
        <v>0.1</v>
      </c>
      <c r="AD183" s="45">
        <f>VLOOKUP($U183,'Regional splits'!$B$15:$R$22,AD$5,FALSE)</f>
        <v>0.1</v>
      </c>
      <c r="AE183" s="45">
        <f>VLOOKUP($U183,'Regional splits'!$B$15:$R$22,AE$5,FALSE)</f>
        <v>0.1</v>
      </c>
      <c r="AF183" s="45">
        <f>VLOOKUP($U183,'Regional splits'!$B$15:$R$22,AF$5,FALSE)</f>
        <v>0.1</v>
      </c>
      <c r="AG183" s="45">
        <f>VLOOKUP($U183,'Regional splits'!$B$15:$R$22,AG$5,FALSE)</f>
        <v>0</v>
      </c>
      <c r="AH183" s="45">
        <f>VLOOKUP($U183,'Regional splits'!$B$15:$R$22,AH$5,FALSE)</f>
        <v>0</v>
      </c>
      <c r="AI183" s="45">
        <f>VLOOKUP($U183,'Regional splits'!$B$15:$R$22,AI$5,FALSE)</f>
        <v>0</v>
      </c>
      <c r="AJ183" s="45">
        <f>VLOOKUP($U183,'Regional splits'!$B$15:$R$22,AJ$5,FALSE)</f>
        <v>0</v>
      </c>
      <c r="AK183" s="45">
        <f>VLOOKUP($U183,'Regional splits'!$B$15:$R$22,AK$5,FALSE)</f>
        <v>0</v>
      </c>
      <c r="AL183" s="45">
        <f>VLOOKUP($U183,'Regional splits'!$B$15:$R$22,AL$5,FALSE)</f>
        <v>0</v>
      </c>
      <c r="AN183" s="3" t="s">
        <v>758</v>
      </c>
      <c r="AP183">
        <f t="shared" ref="AP183:AY183" si="25">IF(ISNUMBER(SEARCH(AP$3,$AN183)),1,0)</f>
        <v>0</v>
      </c>
      <c r="AQ183">
        <f t="shared" si="25"/>
        <v>1</v>
      </c>
      <c r="AR183">
        <f t="shared" si="25"/>
        <v>0</v>
      </c>
      <c r="AS183">
        <f t="shared" si="25"/>
        <v>0</v>
      </c>
      <c r="AT183">
        <f t="shared" si="25"/>
        <v>0</v>
      </c>
      <c r="AU183">
        <f t="shared" si="25"/>
        <v>1</v>
      </c>
      <c r="AV183">
        <f t="shared" si="25"/>
        <v>0</v>
      </c>
      <c r="AW183">
        <f t="shared" si="25"/>
        <v>0</v>
      </c>
      <c r="AX183">
        <f t="shared" si="25"/>
        <v>0</v>
      </c>
      <c r="AY183">
        <f t="shared" si="25"/>
        <v>0</v>
      </c>
      <c r="BA183" s="31">
        <f>S183*COUNTIFS(AP183:AY183,"1",$AP$4:$AY$4,"TRUE")</f>
        <v>1335312</v>
      </c>
    </row>
    <row r="184" spans="2:60" x14ac:dyDescent="0.25">
      <c r="C184" s="122"/>
      <c r="D184" s="26" t="s">
        <v>92</v>
      </c>
      <c r="F184" s="32">
        <f>125*5.4</f>
        <v>675</v>
      </c>
      <c r="H184" s="38"/>
      <c r="J184" s="76" t="s">
        <v>533</v>
      </c>
      <c r="K184" s="76" t="s">
        <v>534</v>
      </c>
      <c r="M184" s="3">
        <f>120+5*20</f>
        <v>220</v>
      </c>
      <c r="N184" s="6" t="s">
        <v>537</v>
      </c>
      <c r="P184" s="6"/>
    </row>
    <row r="185" spans="2:60" ht="39" customHeight="1" thickBot="1" x14ac:dyDescent="0.3">
      <c r="C185" s="123"/>
      <c r="D185" s="26" t="s">
        <v>93</v>
      </c>
      <c r="F185" s="32">
        <v>540</v>
      </c>
      <c r="J185" s="76" t="s">
        <v>531</v>
      </c>
      <c r="K185" s="76" t="s">
        <v>532</v>
      </c>
      <c r="M185" s="3">
        <f>10*10+20+5*20</f>
        <v>220</v>
      </c>
      <c r="N185" s="6" t="s">
        <v>537</v>
      </c>
      <c r="P185" s="6"/>
    </row>
    <row r="186" spans="2:60" ht="15.75" thickBot="1" x14ac:dyDescent="0.3">
      <c r="J186" s="76"/>
      <c r="K186" s="76"/>
      <c r="P186" s="4"/>
    </row>
    <row r="187" spans="2:60" x14ac:dyDescent="0.25">
      <c r="B187" s="23">
        <v>1</v>
      </c>
      <c r="C187" s="121" t="s">
        <v>591</v>
      </c>
      <c r="D187" s="26" t="s">
        <v>592</v>
      </c>
      <c r="F187" s="32">
        <v>2500</v>
      </c>
      <c r="G187" s="33" t="s">
        <v>596</v>
      </c>
      <c r="J187" s="76"/>
      <c r="K187" s="76"/>
      <c r="M187" s="3">
        <v>5</v>
      </c>
      <c r="N187" s="1" t="s">
        <v>292</v>
      </c>
      <c r="P187" s="4"/>
      <c r="S187" s="27">
        <f>(F187*12+M188*F188+M189*F189+F190)*M187</f>
        <v>775700.61</v>
      </c>
      <c r="U187" s="3" t="s">
        <v>23</v>
      </c>
      <c r="W187" s="45">
        <f>VLOOKUP($U187,'Regional splits'!$B$15:$R$22,W$5,FALSE)</f>
        <v>6.5028184865888027E-3</v>
      </c>
      <c r="X187" s="45">
        <f>VLOOKUP($U187,'Regional splits'!$B$15:$R$22,X$5,FALSE)</f>
        <v>1.0046174249988382E-2</v>
      </c>
      <c r="Y187" s="45">
        <f>VLOOKUP($U187,'Regional splits'!$B$15:$R$22,Y$5,FALSE)</f>
        <v>8.7592983428188623E-3</v>
      </c>
      <c r="Z187" s="45">
        <f>VLOOKUP($U187,'Regional splits'!$B$15:$R$22,Z$5,FALSE)</f>
        <v>4.9187822248369694E-3</v>
      </c>
      <c r="AA187" s="45">
        <f>VLOOKUP($U187,'Regional splits'!$B$15:$R$22,AA$5,FALSE)</f>
        <v>1.1279096074654211E-2</v>
      </c>
      <c r="AB187" s="45">
        <f>VLOOKUP($U187,'Regional splits'!$B$15:$R$22,AB$5,FALSE)</f>
        <v>3.4712865208558724E-3</v>
      </c>
      <c r="AC187" s="45">
        <f>VLOOKUP($U187,'Regional splits'!$B$15:$R$22,AC$5,FALSE)</f>
        <v>0.93863587523942793</v>
      </c>
      <c r="AD187" s="45">
        <f>VLOOKUP($U187,'Regional splits'!$B$15:$R$22,AD$5,FALSE)</f>
        <v>3.6235867509956192E-3</v>
      </c>
      <c r="AE187" s="45">
        <f>VLOOKUP($U187,'Regional splits'!$B$15:$R$22,AE$5,FALSE)</f>
        <v>8.2415668873803607E-3</v>
      </c>
      <c r="AF187" s="45">
        <f>VLOOKUP($U187,'Regional splits'!$B$15:$R$22,AF$5,FALSE)</f>
        <v>4.5215152224531005E-3</v>
      </c>
      <c r="AG187" s="45">
        <f>VLOOKUP($U187,'Regional splits'!$B$15:$R$22,AG$5,FALSE)</f>
        <v>0</v>
      </c>
      <c r="AH187" s="45">
        <f>VLOOKUP($U187,'Regional splits'!$B$15:$R$22,AH$5,FALSE)</f>
        <v>0</v>
      </c>
      <c r="AI187" s="45">
        <f>VLOOKUP($U187,'Regional splits'!$B$15:$R$22,AI$5,FALSE)</f>
        <v>0</v>
      </c>
      <c r="AJ187" s="45">
        <f>VLOOKUP($U187,'Regional splits'!$B$15:$R$22,AJ$5,FALSE)</f>
        <v>0</v>
      </c>
      <c r="AK187" s="45">
        <f>VLOOKUP($U187,'Regional splits'!$B$15:$R$22,AK$5,FALSE)</f>
        <v>0</v>
      </c>
      <c r="AL187" s="45">
        <f>VLOOKUP($U187,'Regional splits'!$B$15:$R$22,AL$5,FALSE)</f>
        <v>0</v>
      </c>
      <c r="AN187" s="3" t="s">
        <v>598</v>
      </c>
      <c r="AP187">
        <f t="shared" ref="AP187:AY187" si="26">IF(ISNUMBER(SEARCH(AP$3,$AN187)),1,0)</f>
        <v>0</v>
      </c>
      <c r="AQ187">
        <f t="shared" si="26"/>
        <v>1</v>
      </c>
      <c r="AR187">
        <f t="shared" si="26"/>
        <v>1</v>
      </c>
      <c r="AS187">
        <f t="shared" si="26"/>
        <v>1</v>
      </c>
      <c r="AT187">
        <f t="shared" si="26"/>
        <v>0</v>
      </c>
      <c r="AU187">
        <f t="shared" si="26"/>
        <v>0</v>
      </c>
      <c r="AV187">
        <f t="shared" si="26"/>
        <v>0</v>
      </c>
      <c r="AW187">
        <f t="shared" si="26"/>
        <v>0</v>
      </c>
      <c r="AX187">
        <f t="shared" si="26"/>
        <v>0</v>
      </c>
      <c r="AY187">
        <f t="shared" si="26"/>
        <v>0</v>
      </c>
      <c r="BA187" s="31">
        <f>S187*COUNTIFS(AP187:AY187,"1",$AP$4:$AY$4,"TRUE")</f>
        <v>2327101.83</v>
      </c>
    </row>
    <row r="188" spans="2:60" x14ac:dyDescent="0.25">
      <c r="C188" s="122"/>
      <c r="D188" s="26" t="s">
        <v>593</v>
      </c>
      <c r="F188" s="32">
        <v>44847.561000000002</v>
      </c>
      <c r="G188" s="33" t="s">
        <v>595</v>
      </c>
      <c r="J188" s="76"/>
      <c r="K188" s="76"/>
      <c r="M188" s="3">
        <v>2</v>
      </c>
      <c r="N188" s="1" t="s">
        <v>597</v>
      </c>
      <c r="P188" s="4"/>
    </row>
    <row r="189" spans="2:60" x14ac:dyDescent="0.25">
      <c r="C189" s="122"/>
      <c r="D189" s="26" t="s">
        <v>594</v>
      </c>
      <c r="F189" s="32">
        <v>35000</v>
      </c>
      <c r="G189" s="33" t="s">
        <v>595</v>
      </c>
      <c r="J189" s="76"/>
      <c r="K189" s="76"/>
      <c r="M189" s="3">
        <v>1</v>
      </c>
      <c r="N189" s="1" t="s">
        <v>597</v>
      </c>
      <c r="P189" s="4"/>
    </row>
    <row r="190" spans="2:60" ht="15.75" thickBot="1" x14ac:dyDescent="0.3">
      <c r="C190" s="123"/>
      <c r="D190" s="26" t="s">
        <v>288</v>
      </c>
      <c r="F190" s="27">
        <f>SUM(F232:F235)</f>
        <v>445</v>
      </c>
      <c r="G190" s="33" t="s">
        <v>293</v>
      </c>
      <c r="J190" s="76"/>
      <c r="K190" s="76"/>
    </row>
    <row r="191" spans="2:60" ht="15.75" thickBot="1" x14ac:dyDescent="0.3">
      <c r="J191" s="76"/>
      <c r="K191" s="76"/>
      <c r="P191" s="4"/>
    </row>
    <row r="192" spans="2:60" ht="15" customHeight="1" x14ac:dyDescent="0.25">
      <c r="B192" s="23">
        <v>1</v>
      </c>
      <c r="C192" s="121" t="s">
        <v>843</v>
      </c>
      <c r="F192" s="39" t="s">
        <v>227</v>
      </c>
      <c r="J192" s="76"/>
      <c r="K192" s="76"/>
      <c r="M192" s="3">
        <v>30</v>
      </c>
      <c r="N192" s="1" t="s">
        <v>225</v>
      </c>
      <c r="O192" s="3">
        <v>1</v>
      </c>
      <c r="P192" s="1" t="s">
        <v>229</v>
      </c>
      <c r="S192" s="27">
        <f>(HLOOKUP(M193,$AR$19:$AU$31,$AO$20,FALSE)+ROUNDUP(M194,0)*(HLOOKUP(M193,$AR$19:$AU$31,$AO$22,FALSE)+HLOOKUP(M193,$AR$19:$AU$31,$AO$24,FALSE)+M192*HLOOKUP(M193,$AR$19:$AU$31,$AO$23,FALSE)+(M192+HLOOKUP(M193,$AR$19:$AU$31,$AO$27,FALSE))*HLOOKUP(M193,$AR$19:$AU$31,$AO$25,FALSE))+(M192+HLOOKUP(M193,$AR$19:$AU$31,$AO$28,FALSE))*IF(M194&gt;0.5,HLOOKUP(M193,$AR$19:$AU$31,$AO$30,FALSE),HLOOKUP(M193,$AR$19:$AU$31,$AO$31,FALSE)))*O192+F195*M195*O192+F196*M196*O196*O192</f>
        <v>389739.67420000001</v>
      </c>
      <c r="U192" s="3" t="s">
        <v>176</v>
      </c>
      <c r="W192" s="45">
        <f>VLOOKUP($U192,'Regional splits'!$B$15:$R$22,W$5,FALSE)</f>
        <v>0</v>
      </c>
      <c r="X192" s="45">
        <f>VLOOKUP($U192,'Regional splits'!$B$15:$R$22,X$5,FALSE)</f>
        <v>0</v>
      </c>
      <c r="Y192" s="45">
        <f>VLOOKUP($U192,'Regional splits'!$B$15:$R$22,Y$5,FALSE)</f>
        <v>0</v>
      </c>
      <c r="Z192" s="45">
        <f>VLOOKUP($U192,'Regional splits'!$B$15:$R$22,Z$5,FALSE)</f>
        <v>0</v>
      </c>
      <c r="AA192" s="45">
        <f>VLOOKUP($U192,'Regional splits'!$B$15:$R$22,AA$5,FALSE)</f>
        <v>0</v>
      </c>
      <c r="AB192" s="45">
        <f>VLOOKUP($U192,'Regional splits'!$B$15:$R$22,AB$5,FALSE)</f>
        <v>0</v>
      </c>
      <c r="AC192" s="45">
        <f>VLOOKUP($U192,'Regional splits'!$B$15:$R$22,AC$5,FALSE)</f>
        <v>0</v>
      </c>
      <c r="AD192" s="45">
        <f>VLOOKUP($U192,'Regional splits'!$B$15:$R$22,AD$5,FALSE)</f>
        <v>0</v>
      </c>
      <c r="AE192" s="45">
        <f>VLOOKUP($U192,'Regional splits'!$B$15:$R$22,AE$5,FALSE)</f>
        <v>0</v>
      </c>
      <c r="AF192" s="45">
        <f>VLOOKUP($U192,'Regional splits'!$B$15:$R$22,AF$5,FALSE)</f>
        <v>0</v>
      </c>
      <c r="AG192" s="45">
        <f>VLOOKUP($U192,'Regional splits'!$B$15:$R$22,AG$5,FALSE)</f>
        <v>0</v>
      </c>
      <c r="AH192" s="45">
        <f>VLOOKUP($U192,'Regional splits'!$B$15:$R$22,AH$5,FALSE)</f>
        <v>0</v>
      </c>
      <c r="AI192" s="45">
        <f>VLOOKUP($U192,'Regional splits'!$B$15:$R$22,AI$5,FALSE)</f>
        <v>0</v>
      </c>
      <c r="AJ192" s="45">
        <f>VLOOKUP($U192,'Regional splits'!$B$15:$R$22,AJ$5,FALSE)</f>
        <v>0</v>
      </c>
      <c r="AK192" s="45">
        <f>VLOOKUP($U192,'Regional splits'!$B$15:$R$22,AK$5,FALSE)</f>
        <v>0</v>
      </c>
      <c r="AL192" s="45">
        <f>VLOOKUP($U192,'Regional splits'!$B$15:$R$22,AL$5,FALSE)</f>
        <v>1</v>
      </c>
      <c r="AN192" s="3">
        <v>2014</v>
      </c>
      <c r="AP192">
        <f t="shared" ref="AP192:AY192" si="27">IF(ISNUMBER(SEARCH(AP$3,$AN192)),1,0)</f>
        <v>0</v>
      </c>
      <c r="AQ192">
        <f t="shared" si="27"/>
        <v>1</v>
      </c>
      <c r="AR192">
        <f t="shared" si="27"/>
        <v>0</v>
      </c>
      <c r="AS192">
        <f t="shared" si="27"/>
        <v>0</v>
      </c>
      <c r="AT192">
        <f t="shared" si="27"/>
        <v>0</v>
      </c>
      <c r="AU192">
        <f t="shared" si="27"/>
        <v>0</v>
      </c>
      <c r="AV192">
        <f t="shared" si="27"/>
        <v>0</v>
      </c>
      <c r="AW192">
        <f t="shared" si="27"/>
        <v>0</v>
      </c>
      <c r="AX192">
        <f t="shared" si="27"/>
        <v>0</v>
      </c>
      <c r="AY192">
        <f t="shared" si="27"/>
        <v>0</v>
      </c>
      <c r="BA192" s="31">
        <f>S192*COUNTIFS(AP192:AY192,"1",$AP$4:$AY$4,"TRUE")</f>
        <v>389739.67420000001</v>
      </c>
    </row>
    <row r="193" spans="2:57" x14ac:dyDescent="0.25">
      <c r="C193" s="122"/>
      <c r="J193" s="76"/>
      <c r="K193" s="76"/>
      <c r="M193" s="3" t="s">
        <v>51</v>
      </c>
      <c r="N193" s="1" t="s">
        <v>226</v>
      </c>
    </row>
    <row r="194" spans="2:57" x14ac:dyDescent="0.25">
      <c r="B194" s="23">
        <v>1</v>
      </c>
      <c r="C194" s="122"/>
      <c r="J194" s="76"/>
      <c r="K194" s="76"/>
      <c r="M194" s="3">
        <v>21</v>
      </c>
      <c r="N194" s="1" t="s">
        <v>252</v>
      </c>
    </row>
    <row r="195" spans="2:57" x14ac:dyDescent="0.25">
      <c r="B195" s="23"/>
      <c r="C195" s="122"/>
      <c r="E195" s="26" t="s">
        <v>112</v>
      </c>
      <c r="F195" s="27">
        <f>F300+F301</f>
        <v>69.44250000000001</v>
      </c>
      <c r="J195" s="76"/>
      <c r="K195" s="76"/>
      <c r="M195" s="3">
        <f>M192*5</f>
        <v>150</v>
      </c>
      <c r="N195" s="1" t="s">
        <v>284</v>
      </c>
    </row>
    <row r="196" spans="2:57" ht="15.75" thickBot="1" x14ac:dyDescent="0.3">
      <c r="B196" s="23"/>
      <c r="C196" s="123"/>
      <c r="E196" s="41" t="s">
        <v>386</v>
      </c>
      <c r="F196" s="32">
        <v>0</v>
      </c>
      <c r="G196" s="36" t="s">
        <v>863</v>
      </c>
      <c r="J196" s="76"/>
      <c r="K196" s="76"/>
      <c r="M196" s="3">
        <v>0</v>
      </c>
      <c r="N196" s="1" t="s">
        <v>305</v>
      </c>
      <c r="O196" s="3">
        <v>0</v>
      </c>
      <c r="P196" s="1" t="s">
        <v>416</v>
      </c>
    </row>
    <row r="197" spans="2:57" ht="15.75" thickBot="1" x14ac:dyDescent="0.3">
      <c r="J197" s="76"/>
      <c r="K197" s="76"/>
      <c r="P197" s="4"/>
    </row>
    <row r="198" spans="2:57" ht="15" customHeight="1" x14ac:dyDescent="0.25">
      <c r="B198" s="23">
        <v>1</v>
      </c>
      <c r="C198" s="121" t="s">
        <v>590</v>
      </c>
      <c r="D198" s="42" t="s">
        <v>128</v>
      </c>
      <c r="F198" s="27">
        <f>G48*F40*F41</f>
        <v>222.208</v>
      </c>
      <c r="G198" s="33" t="s">
        <v>290</v>
      </c>
      <c r="J198" s="76"/>
      <c r="K198" s="76"/>
      <c r="M198" s="3">
        <v>1</v>
      </c>
      <c r="N198" s="1" t="s">
        <v>294</v>
      </c>
      <c r="S198" s="27">
        <f>(F198+F199*M198)*M199*M200+F201*M201+(F198+F199*M198)*M202*M203*O203</f>
        <v>5988619.9039999992</v>
      </c>
      <c r="U198" s="3" t="s">
        <v>22</v>
      </c>
      <c r="W198" s="45">
        <f>VLOOKUP($U198,'Regional splits'!$B$15:$R$22,W$5,FALSE)</f>
        <v>8.3333333333333329E-2</v>
      </c>
      <c r="X198" s="45">
        <f>VLOOKUP($U198,'Regional splits'!$B$15:$R$22,X$5,FALSE)</f>
        <v>0.1388888888888889</v>
      </c>
      <c r="Y198" s="45">
        <f>VLOOKUP($U198,'Regional splits'!$B$15:$R$22,Y$5,FALSE)</f>
        <v>9.7222222222222224E-2</v>
      </c>
      <c r="Z198" s="45">
        <f>VLOOKUP($U198,'Regional splits'!$B$15:$R$22,Z$5,FALSE)</f>
        <v>9.7222222222222224E-2</v>
      </c>
      <c r="AA198" s="45">
        <f>VLOOKUP($U198,'Regional splits'!$B$15:$R$22,AA$5,FALSE)</f>
        <v>5.5555555555555552E-2</v>
      </c>
      <c r="AB198" s="45">
        <f>VLOOKUP($U198,'Regional splits'!$B$15:$R$22,AB$5,FALSE)</f>
        <v>6.9444444444444448E-2</v>
      </c>
      <c r="AC198" s="45">
        <f>VLOOKUP($U198,'Regional splits'!$B$15:$R$22,AC$5,FALSE)</f>
        <v>0.1111111111111111</v>
      </c>
      <c r="AD198" s="45">
        <f>VLOOKUP($U198,'Regional splits'!$B$15:$R$22,AD$5,FALSE)</f>
        <v>9.7222222222222224E-2</v>
      </c>
      <c r="AE198" s="45">
        <f>VLOOKUP($U198,'Regional splits'!$B$15:$R$22,AE$5,FALSE)</f>
        <v>0.15277777777777779</v>
      </c>
      <c r="AF198" s="45">
        <f>VLOOKUP($U198,'Regional splits'!$B$15:$R$22,AF$5,FALSE)</f>
        <v>9.7222222222222224E-2</v>
      </c>
      <c r="AG198" s="45">
        <f>VLOOKUP($U198,'Regional splits'!$B$15:$R$22,AG$5,FALSE)</f>
        <v>0</v>
      </c>
      <c r="AH198" s="45">
        <f>VLOOKUP($U198,'Regional splits'!$B$15:$R$22,AH$5,FALSE)</f>
        <v>0</v>
      </c>
      <c r="AI198" s="45">
        <f>VLOOKUP($U198,'Regional splits'!$B$15:$R$22,AI$5,FALSE)</f>
        <v>0</v>
      </c>
      <c r="AJ198" s="45">
        <f>VLOOKUP($U198,'Regional splits'!$B$15:$R$22,AJ$5,FALSE)</f>
        <v>0</v>
      </c>
      <c r="AK198" s="45">
        <f>VLOOKUP($U198,'Regional splits'!$B$15:$R$22,AK$5,FALSE)</f>
        <v>0</v>
      </c>
      <c r="AL198" s="45">
        <f>VLOOKUP($U198,'Regional splits'!$B$15:$R$22,AL$5,FALSE)</f>
        <v>0</v>
      </c>
      <c r="AN198" s="3" t="s">
        <v>585</v>
      </c>
      <c r="AP198">
        <f t="shared" ref="AP198:AX198" si="28">IF(ISNUMBER(SEARCH(AP$3,$AN198)),1,0)</f>
        <v>0</v>
      </c>
      <c r="AQ198">
        <f t="shared" si="28"/>
        <v>1</v>
      </c>
      <c r="AR198">
        <f t="shared" si="28"/>
        <v>1</v>
      </c>
      <c r="AS198">
        <f t="shared" si="28"/>
        <v>1</v>
      </c>
      <c r="AT198">
        <f t="shared" si="28"/>
        <v>1</v>
      </c>
      <c r="AU198">
        <f t="shared" si="28"/>
        <v>1</v>
      </c>
      <c r="AV198">
        <f t="shared" si="28"/>
        <v>1</v>
      </c>
      <c r="AW198">
        <f t="shared" si="28"/>
        <v>1</v>
      </c>
      <c r="AX198">
        <f t="shared" si="28"/>
        <v>0</v>
      </c>
      <c r="AY198">
        <f>IF(ISNUMBER(SEARCH(AY$3,$AN198)),1,0)</f>
        <v>0</v>
      </c>
      <c r="BA198" s="31">
        <f>S198*COUNTIFS(AP198:AY198,"1",$AP$4:$AY$4,"TRUE")</f>
        <v>41920339.327999994</v>
      </c>
    </row>
    <row r="199" spans="2:57" x14ac:dyDescent="0.25">
      <c r="B199" s="23">
        <v>1</v>
      </c>
      <c r="C199" s="122"/>
      <c r="D199" s="42" t="s">
        <v>859</v>
      </c>
      <c r="F199" s="32">
        <f>50*2</f>
        <v>100</v>
      </c>
      <c r="G199" s="33" t="s">
        <v>291</v>
      </c>
      <c r="J199" s="76"/>
      <c r="K199" s="76"/>
      <c r="M199" s="3">
        <v>12</v>
      </c>
      <c r="N199" s="1" t="s">
        <v>295</v>
      </c>
    </row>
    <row r="200" spans="2:57" x14ac:dyDescent="0.25">
      <c r="B200" s="23"/>
      <c r="C200" s="122"/>
      <c r="D200" s="42"/>
      <c r="F200" s="33"/>
      <c r="G200" s="33"/>
      <c r="J200" s="76"/>
      <c r="K200" s="76"/>
      <c r="M200" s="3">
        <f>M201</f>
        <v>72</v>
      </c>
      <c r="N200" s="1" t="s">
        <v>292</v>
      </c>
    </row>
    <row r="201" spans="2:57" ht="33.75" customHeight="1" x14ac:dyDescent="0.25">
      <c r="B201" s="23"/>
      <c r="C201" s="122"/>
      <c r="D201" s="42" t="s">
        <v>584</v>
      </c>
      <c r="E201" s="26" t="s">
        <v>415</v>
      </c>
      <c r="F201" s="32">
        <v>52547.616000000002</v>
      </c>
      <c r="G201" s="33"/>
      <c r="J201" s="76"/>
      <c r="K201" s="76"/>
      <c r="M201" s="3">
        <f>'Regional splits'!R6</f>
        <v>72</v>
      </c>
      <c r="N201" s="1" t="s">
        <v>583</v>
      </c>
    </row>
    <row r="202" spans="2:57" ht="33.75" customHeight="1" x14ac:dyDescent="0.25">
      <c r="B202" s="23"/>
      <c r="C202" s="122"/>
      <c r="D202" s="42"/>
      <c r="E202" s="42"/>
      <c r="F202" s="42"/>
      <c r="G202" s="33"/>
      <c r="J202" s="76"/>
      <c r="K202" s="76"/>
      <c r="M202" s="3">
        <v>1</v>
      </c>
      <c r="N202" s="1" t="s">
        <v>753</v>
      </c>
      <c r="BD202" s="26"/>
      <c r="BE202" s="26"/>
    </row>
    <row r="203" spans="2:57" ht="33.75" customHeight="1" thickBot="1" x14ac:dyDescent="0.3">
      <c r="B203" s="23"/>
      <c r="C203" s="123"/>
      <c r="D203" s="42"/>
      <c r="F203" s="42"/>
      <c r="G203" s="33"/>
      <c r="J203" s="76"/>
      <c r="K203" s="76"/>
      <c r="M203" s="3">
        <v>4</v>
      </c>
      <c r="N203" s="1" t="s">
        <v>589</v>
      </c>
      <c r="O203" s="3">
        <f>'Regional splits'!R9+'Regional splits'!R10</f>
        <v>1495</v>
      </c>
      <c r="P203" s="1" t="s">
        <v>654</v>
      </c>
      <c r="BD203" s="26"/>
      <c r="BE203" s="26"/>
    </row>
    <row r="204" spans="2:57" ht="15.75" thickBot="1" x14ac:dyDescent="0.3">
      <c r="J204" s="76"/>
      <c r="K204" s="76"/>
    </row>
    <row r="205" spans="2:57" x14ac:dyDescent="0.25">
      <c r="B205" s="23">
        <v>1</v>
      </c>
      <c r="C205" s="121" t="s">
        <v>586</v>
      </c>
      <c r="D205" s="26" t="s">
        <v>389</v>
      </c>
      <c r="E205" s="26" t="s">
        <v>241</v>
      </c>
      <c r="F205" s="39" t="s">
        <v>227</v>
      </c>
      <c r="J205" s="76"/>
      <c r="K205" s="76"/>
      <c r="M205" s="3">
        <v>30</v>
      </c>
      <c r="N205" s="1" t="s">
        <v>225</v>
      </c>
      <c r="O205" s="3">
        <v>10</v>
      </c>
      <c r="P205" s="1" t="s">
        <v>229</v>
      </c>
      <c r="S205" s="27">
        <f>(HLOOKUP(M206,$AR$19:$AU$31,$AO$20,FALSE)+ROUNDUP(M207,0)*(HLOOKUP(M206,$AR$19:$AU$31,$AO$22,FALSE)+HLOOKUP(M206,$AR$19:$AU$31,$AO$24,FALSE)+M205*HLOOKUP(M206,$AR$19:$AU$31,$AO$23,FALSE)+(M205+HLOOKUP(M206,$AR$19:$AU$31,$AO$27,FALSE))*HLOOKUP(M206,$AR$19:$AU$31,$AO$25,FALSE))+(M205+HLOOKUP(M206,$AR$19:$AU$31,$AO$28,FALSE))*IF(M207&gt;0.5,HLOOKUP(M206,$AR$19:$AU$31,$AO$30,FALSE),HLOOKUP(M206,$AR$19:$AU$31,$AO$31,FALSE)))*O205+F208*M208*O208*O205</f>
        <v>2747422.08</v>
      </c>
      <c r="U205" s="3" t="s">
        <v>177</v>
      </c>
      <c r="W205" s="45">
        <f>VLOOKUP($U205,'Regional splits'!$B$15:$R$22,W$5,FALSE)</f>
        <v>0.1</v>
      </c>
      <c r="X205" s="45">
        <f>VLOOKUP($U205,'Regional splits'!$B$15:$R$22,X$5,FALSE)</f>
        <v>0.1</v>
      </c>
      <c r="Y205" s="45">
        <f>VLOOKUP($U205,'Regional splits'!$B$15:$R$22,Y$5,FALSE)</f>
        <v>0.1</v>
      </c>
      <c r="Z205" s="45">
        <f>VLOOKUP($U205,'Regional splits'!$B$15:$R$22,Z$5,FALSE)</f>
        <v>0.1</v>
      </c>
      <c r="AA205" s="45">
        <f>VLOOKUP($U205,'Regional splits'!$B$15:$R$22,AA$5,FALSE)</f>
        <v>0.1</v>
      </c>
      <c r="AB205" s="45">
        <f>VLOOKUP($U205,'Regional splits'!$B$15:$R$22,AB$5,FALSE)</f>
        <v>0.1</v>
      </c>
      <c r="AC205" s="45">
        <f>VLOOKUP($U205,'Regional splits'!$B$15:$R$22,AC$5,FALSE)</f>
        <v>0.1</v>
      </c>
      <c r="AD205" s="45">
        <f>VLOOKUP($U205,'Regional splits'!$B$15:$R$22,AD$5,FALSE)</f>
        <v>0.1</v>
      </c>
      <c r="AE205" s="45">
        <f>VLOOKUP($U205,'Regional splits'!$B$15:$R$22,AE$5,FALSE)</f>
        <v>0.1</v>
      </c>
      <c r="AF205" s="45">
        <f>VLOOKUP($U205,'Regional splits'!$B$15:$R$22,AF$5,FALSE)</f>
        <v>0.1</v>
      </c>
      <c r="AG205" s="45">
        <f>VLOOKUP($U205,'Regional splits'!$B$15:$R$22,AG$5,FALSE)</f>
        <v>0</v>
      </c>
      <c r="AH205" s="45">
        <f>VLOOKUP($U205,'Regional splits'!$B$15:$R$22,AH$5,FALSE)</f>
        <v>0</v>
      </c>
      <c r="AI205" s="45">
        <f>VLOOKUP($U205,'Regional splits'!$B$15:$R$22,AI$5,FALSE)</f>
        <v>0</v>
      </c>
      <c r="AJ205" s="45">
        <f>VLOOKUP($U205,'Regional splits'!$B$15:$R$22,AJ$5,FALSE)</f>
        <v>0</v>
      </c>
      <c r="AK205" s="45">
        <f>VLOOKUP($U205,'Regional splits'!$B$15:$R$22,AK$5,FALSE)</f>
        <v>0</v>
      </c>
      <c r="AL205" s="45">
        <f>VLOOKUP($U205,'Regional splits'!$B$15:$R$22,AL$5,FALSE)</f>
        <v>0</v>
      </c>
      <c r="AN205" s="3" t="s">
        <v>417</v>
      </c>
      <c r="AP205">
        <f t="shared" ref="AP205:AX205" si="29">IF(ISNUMBER(SEARCH(AP$3,$AN205)),1,0)</f>
        <v>0</v>
      </c>
      <c r="AQ205">
        <f t="shared" si="29"/>
        <v>1</v>
      </c>
      <c r="AR205">
        <f t="shared" si="29"/>
        <v>1</v>
      </c>
      <c r="AS205">
        <f t="shared" si="29"/>
        <v>1</v>
      </c>
      <c r="AT205">
        <f t="shared" si="29"/>
        <v>1</v>
      </c>
      <c r="AU205">
        <f t="shared" si="29"/>
        <v>1</v>
      </c>
      <c r="AV205">
        <f t="shared" si="29"/>
        <v>1</v>
      </c>
      <c r="AW205">
        <f t="shared" si="29"/>
        <v>1</v>
      </c>
      <c r="AX205">
        <f t="shared" si="29"/>
        <v>0</v>
      </c>
      <c r="AY205">
        <f>IF(ISNUMBER(SEARCH(AY$3,$AN205)),1,0)</f>
        <v>0</v>
      </c>
      <c r="BA205" s="31">
        <f>S205*COUNTIFS(AP205:AY205,"1",$AP$4:$AY$4,"TRUE")</f>
        <v>19231954.560000002</v>
      </c>
    </row>
    <row r="206" spans="2:57" x14ac:dyDescent="0.25">
      <c r="C206" s="122"/>
      <c r="J206" s="76"/>
      <c r="K206" s="76"/>
      <c r="M206" s="3" t="s">
        <v>52</v>
      </c>
      <c r="N206" s="1" t="s">
        <v>226</v>
      </c>
    </row>
    <row r="207" spans="2:57" x14ac:dyDescent="0.25">
      <c r="C207" s="122"/>
      <c r="J207" s="76"/>
      <c r="K207" s="76"/>
      <c r="M207" s="3">
        <v>20</v>
      </c>
      <c r="N207" s="1" t="s">
        <v>252</v>
      </c>
    </row>
    <row r="208" spans="2:57" ht="15.75" thickBot="1" x14ac:dyDescent="0.3">
      <c r="C208" s="123"/>
      <c r="D208" s="26" t="s">
        <v>304</v>
      </c>
      <c r="E208" s="41" t="s">
        <v>386</v>
      </c>
      <c r="F208" s="32">
        <f>F23</f>
        <v>700</v>
      </c>
      <c r="G208" s="36" t="s">
        <v>307</v>
      </c>
      <c r="J208" s="76"/>
      <c r="K208" s="76"/>
      <c r="M208" s="3">
        <v>3</v>
      </c>
      <c r="N208" s="1" t="s">
        <v>305</v>
      </c>
      <c r="O208" s="3">
        <f>M205/5</f>
        <v>6</v>
      </c>
      <c r="P208" s="1" t="s">
        <v>306</v>
      </c>
    </row>
    <row r="209" spans="2:53" ht="15.75" thickBot="1" x14ac:dyDescent="0.3">
      <c r="J209" s="76"/>
      <c r="K209" s="76"/>
    </row>
    <row r="210" spans="2:53" ht="15" customHeight="1" x14ac:dyDescent="0.25">
      <c r="C210" s="121" t="s">
        <v>587</v>
      </c>
      <c r="D210" s="26" t="s">
        <v>133</v>
      </c>
      <c r="F210" s="32">
        <v>500</v>
      </c>
      <c r="J210" s="76" t="s">
        <v>539</v>
      </c>
      <c r="K210" s="76"/>
      <c r="M210" s="3">
        <v>1</v>
      </c>
      <c r="N210" s="1" t="s">
        <v>390</v>
      </c>
      <c r="O210" s="5">
        <f>M205*O205</f>
        <v>300</v>
      </c>
      <c r="P210" s="6" t="s">
        <v>418</v>
      </c>
      <c r="S210" s="27">
        <f>SUMPRODUCT(F210:F215,M210:M215)*O210</f>
        <v>198000</v>
      </c>
      <c r="U210" s="3" t="s">
        <v>177</v>
      </c>
      <c r="W210" s="45">
        <f>VLOOKUP($U210,'Regional splits'!$B$15:$R$22,W$5,FALSE)</f>
        <v>0.1</v>
      </c>
      <c r="X210" s="45">
        <f>VLOOKUP($U210,'Regional splits'!$B$15:$R$22,X$5,FALSE)</f>
        <v>0.1</v>
      </c>
      <c r="Y210" s="45">
        <f>VLOOKUP($U210,'Regional splits'!$B$15:$R$22,Y$5,FALSE)</f>
        <v>0.1</v>
      </c>
      <c r="Z210" s="45">
        <f>VLOOKUP($U210,'Regional splits'!$B$15:$R$22,Z$5,FALSE)</f>
        <v>0.1</v>
      </c>
      <c r="AA210" s="45">
        <f>VLOOKUP($U210,'Regional splits'!$B$15:$R$22,AA$5,FALSE)</f>
        <v>0.1</v>
      </c>
      <c r="AB210" s="45">
        <f>VLOOKUP($U210,'Regional splits'!$B$15:$R$22,AB$5,FALSE)</f>
        <v>0.1</v>
      </c>
      <c r="AC210" s="45">
        <f>VLOOKUP($U210,'Regional splits'!$B$15:$R$22,AC$5,FALSE)</f>
        <v>0.1</v>
      </c>
      <c r="AD210" s="45">
        <f>VLOOKUP($U210,'Regional splits'!$B$15:$R$22,AD$5,FALSE)</f>
        <v>0.1</v>
      </c>
      <c r="AE210" s="45">
        <f>VLOOKUP($U210,'Regional splits'!$B$15:$R$22,AE$5,FALSE)</f>
        <v>0.1</v>
      </c>
      <c r="AF210" s="45">
        <f>VLOOKUP($U210,'Regional splits'!$B$15:$R$22,AF$5,FALSE)</f>
        <v>0.1</v>
      </c>
      <c r="AG210" s="45">
        <f>VLOOKUP($U210,'Regional splits'!$B$15:$R$22,AG$5,FALSE)</f>
        <v>0</v>
      </c>
      <c r="AH210" s="45">
        <f>VLOOKUP($U210,'Regional splits'!$B$15:$R$22,AH$5,FALSE)</f>
        <v>0</v>
      </c>
      <c r="AI210" s="45">
        <f>VLOOKUP($U210,'Regional splits'!$B$15:$R$22,AI$5,FALSE)</f>
        <v>0</v>
      </c>
      <c r="AJ210" s="45">
        <f>VLOOKUP($U210,'Regional splits'!$B$15:$R$22,AJ$5,FALSE)</f>
        <v>0</v>
      </c>
      <c r="AK210" s="45">
        <f>VLOOKUP($U210,'Regional splits'!$B$15:$R$22,AK$5,FALSE)</f>
        <v>0</v>
      </c>
      <c r="AL210" s="45">
        <f>VLOOKUP($U210,'Regional splits'!$B$15:$R$22,AL$5,FALSE)</f>
        <v>0</v>
      </c>
      <c r="AN210" s="3" t="str">
        <f>AN205</f>
        <v>2014; 2015; 2016; 2017; 2018; 2019; 2020</v>
      </c>
      <c r="AP210">
        <f t="shared" ref="AP210:AX210" si="30">IF(ISNUMBER(SEARCH(AP$3,$AN210)),1,0)</f>
        <v>0</v>
      </c>
      <c r="AQ210">
        <f t="shared" si="30"/>
        <v>1</v>
      </c>
      <c r="AR210">
        <f t="shared" si="30"/>
        <v>1</v>
      </c>
      <c r="AS210">
        <f t="shared" si="30"/>
        <v>1</v>
      </c>
      <c r="AT210">
        <f t="shared" si="30"/>
        <v>1</v>
      </c>
      <c r="AU210">
        <f t="shared" si="30"/>
        <v>1</v>
      </c>
      <c r="AV210">
        <f t="shared" si="30"/>
        <v>1</v>
      </c>
      <c r="AW210">
        <f t="shared" si="30"/>
        <v>1</v>
      </c>
      <c r="AX210">
        <f t="shared" si="30"/>
        <v>0</v>
      </c>
      <c r="AY210">
        <f>IF(ISNUMBER(SEARCH(AY$3,$AN210)),1,0)</f>
        <v>0</v>
      </c>
      <c r="BA210" s="31">
        <f>S210*COUNTIFS(AP210:AY210,"1",$AP$4:$AY$4,"TRUE")</f>
        <v>1386000</v>
      </c>
    </row>
    <row r="211" spans="2:53" x14ac:dyDescent="0.25">
      <c r="C211" s="122"/>
      <c r="D211" s="26" t="s">
        <v>132</v>
      </c>
      <c r="F211" s="32">
        <f>15*5</f>
        <v>75</v>
      </c>
      <c r="J211" s="76"/>
      <c r="K211" s="76"/>
      <c r="M211" s="3">
        <v>1</v>
      </c>
      <c r="N211" s="1" t="s">
        <v>390</v>
      </c>
    </row>
    <row r="212" spans="2:53" x14ac:dyDescent="0.25">
      <c r="C212" s="122"/>
      <c r="D212" s="26" t="s">
        <v>296</v>
      </c>
      <c r="F212" s="32">
        <f>10*5</f>
        <v>50</v>
      </c>
      <c r="J212" s="76"/>
      <c r="K212" s="76"/>
      <c r="M212" s="3">
        <v>1</v>
      </c>
      <c r="N212" s="1" t="s">
        <v>390</v>
      </c>
    </row>
    <row r="213" spans="2:53" x14ac:dyDescent="0.25">
      <c r="C213" s="122"/>
      <c r="D213" s="26" t="s">
        <v>299</v>
      </c>
      <c r="F213" s="32">
        <v>35</v>
      </c>
      <c r="J213" s="76"/>
      <c r="K213" s="76"/>
      <c r="M213" s="3">
        <v>1</v>
      </c>
      <c r="N213" s="1" t="s">
        <v>390</v>
      </c>
    </row>
    <row r="214" spans="2:53" x14ac:dyDescent="0.25">
      <c r="C214" s="122"/>
      <c r="D214" s="26" t="s">
        <v>131</v>
      </c>
      <c r="F214" s="32">
        <v>25</v>
      </c>
      <c r="J214" s="76"/>
      <c r="K214" s="76"/>
      <c r="M214" s="3">
        <v>0</v>
      </c>
      <c r="N214" s="1" t="s">
        <v>390</v>
      </c>
    </row>
    <row r="215" spans="2:53" ht="15.75" thickBot="1" x14ac:dyDescent="0.3">
      <c r="C215" s="123"/>
      <c r="D215" s="26" t="s">
        <v>297</v>
      </c>
      <c r="F215" s="32">
        <v>25</v>
      </c>
      <c r="J215" s="76"/>
      <c r="K215" s="76"/>
      <c r="M215" s="3">
        <v>0</v>
      </c>
      <c r="N215" s="1" t="s">
        <v>390</v>
      </c>
    </row>
    <row r="216" spans="2:53" ht="15.75" thickBot="1" x14ac:dyDescent="0.3">
      <c r="J216" s="76"/>
      <c r="K216" s="76"/>
    </row>
    <row r="217" spans="2:53" x14ac:dyDescent="0.25">
      <c r="C217" s="121" t="s">
        <v>588</v>
      </c>
      <c r="D217" s="26" t="s">
        <v>130</v>
      </c>
      <c r="F217" s="32">
        <v>0</v>
      </c>
      <c r="J217" s="76" t="s">
        <v>539</v>
      </c>
      <c r="K217" s="76"/>
      <c r="M217" s="3">
        <v>0</v>
      </c>
      <c r="N217" s="1" t="s">
        <v>129</v>
      </c>
      <c r="O217" s="3">
        <f>(O210+M125*O125)*8/2+1500</f>
        <v>3100</v>
      </c>
      <c r="P217" s="1" t="s">
        <v>419</v>
      </c>
      <c r="S217" s="27">
        <f>(F217*M217+SUM(F218:F219)*12)*O217</f>
        <v>5580000</v>
      </c>
      <c r="U217" s="3" t="s">
        <v>43</v>
      </c>
      <c r="W217" s="45">
        <f>VLOOKUP($U217,'Regional splits'!$B$15:$R$22,W$5,FALSE)</f>
        <v>0.10690633869441817</v>
      </c>
      <c r="X217" s="45">
        <f>VLOOKUP($U217,'Regional splits'!$B$15:$R$22,X$5,FALSE)</f>
        <v>5.0141911069063384E-2</v>
      </c>
      <c r="Y217" s="45">
        <f>VLOOKUP($U217,'Regional splits'!$B$15:$R$22,Y$5,FALSE)</f>
        <v>0.12961210974456008</v>
      </c>
      <c r="Z217" s="45">
        <f>VLOOKUP($U217,'Regional splits'!$B$15:$R$22,Z$5,FALSE)</f>
        <v>0.11825922421948912</v>
      </c>
      <c r="AA217" s="45">
        <f>VLOOKUP($U217,'Regional splits'!$B$15:$R$22,AA$5,FALSE)</f>
        <v>4.4465468306527908E-2</v>
      </c>
      <c r="AB217" s="45">
        <f>VLOOKUP($U217,'Regional splits'!$B$15:$R$22,AB$5,FALSE)</f>
        <v>6.7171239356669826E-2</v>
      </c>
      <c r="AC217" s="45">
        <f>VLOOKUP($U217,'Regional splits'!$B$15:$R$22,AC$5,FALSE)</f>
        <v>8.7984862819299903E-2</v>
      </c>
      <c r="AD217" s="45">
        <f>VLOOKUP($U217,'Regional splits'!$B$15:$R$22,AD$5,FALSE)</f>
        <v>0.11352885525070956</v>
      </c>
      <c r="AE217" s="45">
        <f>VLOOKUP($U217,'Regional splits'!$B$15:$R$22,AE$5,FALSE)</f>
        <v>0.16367076631977295</v>
      </c>
      <c r="AF217" s="45">
        <f>VLOOKUP($U217,'Regional splits'!$B$15:$R$22,AF$5,FALSE)</f>
        <v>0.11825922421948912</v>
      </c>
      <c r="AG217" s="45">
        <f>VLOOKUP($U217,'Regional splits'!$B$15:$R$22,AG$5,FALSE)</f>
        <v>0</v>
      </c>
      <c r="AH217" s="45">
        <f>VLOOKUP($U217,'Regional splits'!$B$15:$R$22,AH$5,FALSE)</f>
        <v>0</v>
      </c>
      <c r="AI217" s="45">
        <f>VLOOKUP($U217,'Regional splits'!$B$15:$R$22,AI$5,FALSE)</f>
        <v>0</v>
      </c>
      <c r="AJ217" s="45">
        <f>VLOOKUP($U217,'Regional splits'!$B$15:$R$22,AJ$5,FALSE)</f>
        <v>0</v>
      </c>
      <c r="AK217" s="45">
        <f>VLOOKUP($U217,'Regional splits'!$B$15:$R$22,AK$5,FALSE)</f>
        <v>0</v>
      </c>
      <c r="AL217" s="45">
        <f>VLOOKUP($U217,'Regional splits'!$B$15:$R$22,AL$5,FALSE)</f>
        <v>0</v>
      </c>
      <c r="AN217" s="3" t="s">
        <v>417</v>
      </c>
      <c r="AP217">
        <f t="shared" ref="AP217:AX217" si="31">IF(ISNUMBER(SEARCH(AP$3,$AN217)),1,0)</f>
        <v>0</v>
      </c>
      <c r="AQ217">
        <f t="shared" si="31"/>
        <v>1</v>
      </c>
      <c r="AR217">
        <f t="shared" si="31"/>
        <v>1</v>
      </c>
      <c r="AS217">
        <f t="shared" si="31"/>
        <v>1</v>
      </c>
      <c r="AT217">
        <f t="shared" si="31"/>
        <v>1</v>
      </c>
      <c r="AU217">
        <f t="shared" si="31"/>
        <v>1</v>
      </c>
      <c r="AV217">
        <f t="shared" si="31"/>
        <v>1</v>
      </c>
      <c r="AW217">
        <f t="shared" si="31"/>
        <v>1</v>
      </c>
      <c r="AX217">
        <f t="shared" si="31"/>
        <v>0</v>
      </c>
      <c r="AY217">
        <f>IF(ISNUMBER(SEARCH(AY$3,$AN217)),1,0)</f>
        <v>0</v>
      </c>
      <c r="BA217" s="31">
        <f>S217*COUNTIFS(AP217:AY217,"1",$AP$4:$AY$4,"TRUE")</f>
        <v>39060000</v>
      </c>
    </row>
    <row r="218" spans="2:53" x14ac:dyDescent="0.25">
      <c r="C218" s="122"/>
      <c r="D218" s="26" t="s">
        <v>298</v>
      </c>
      <c r="F218" s="32">
        <v>150</v>
      </c>
      <c r="G218" s="33" t="s">
        <v>301</v>
      </c>
      <c r="J218" s="76"/>
      <c r="K218" s="76"/>
    </row>
    <row r="219" spans="2:53" x14ac:dyDescent="0.25">
      <c r="B219" s="23">
        <v>1</v>
      </c>
      <c r="C219" s="122"/>
      <c r="D219" s="41" t="s">
        <v>300</v>
      </c>
      <c r="F219" s="32">
        <v>0</v>
      </c>
      <c r="G219" s="33" t="s">
        <v>301</v>
      </c>
      <c r="J219" s="76"/>
      <c r="K219" s="76"/>
    </row>
    <row r="220" spans="2:53" x14ac:dyDescent="0.25">
      <c r="C220" s="122"/>
      <c r="D220" s="43" t="s">
        <v>726</v>
      </c>
      <c r="F220" s="33"/>
      <c r="G220" s="33"/>
      <c r="J220" s="76"/>
      <c r="K220" s="76"/>
    </row>
    <row r="221" spans="2:53" ht="15.75" thickBot="1" x14ac:dyDescent="0.3">
      <c r="C221" s="123"/>
      <c r="D221" s="43" t="s">
        <v>345</v>
      </c>
      <c r="F221" s="33"/>
      <c r="G221" s="33"/>
      <c r="J221" s="76"/>
      <c r="K221" s="76"/>
    </row>
    <row r="222" spans="2:53" ht="15.75" thickBot="1" x14ac:dyDescent="0.3">
      <c r="J222" s="76"/>
      <c r="K222" s="76"/>
    </row>
    <row r="223" spans="2:53" ht="15" customHeight="1" x14ac:dyDescent="0.25">
      <c r="C223" s="121" t="s">
        <v>862</v>
      </c>
      <c r="D223" s="26" t="s">
        <v>97</v>
      </c>
      <c r="F223" s="49">
        <v>4500</v>
      </c>
      <c r="J223" s="76" t="s">
        <v>540</v>
      </c>
      <c r="K223" s="76"/>
      <c r="M223" s="3">
        <v>1</v>
      </c>
      <c r="N223" s="1" t="s">
        <v>428</v>
      </c>
      <c r="O223" s="3">
        <f>'Regional splits'!R9+'Regional splits'!R10</f>
        <v>1495</v>
      </c>
      <c r="P223" s="1" t="s">
        <v>308</v>
      </c>
      <c r="S223" s="27">
        <f>SUMPRODUCT(F223:F236,M223:M236,O223:O236)</f>
        <v>11266506.25</v>
      </c>
      <c r="U223" s="3" t="s">
        <v>573</v>
      </c>
      <c r="W223" s="45">
        <f>VLOOKUP($U223,'Regional splits'!$B$15:$R$22,W$5,FALSE)</f>
        <v>0.10169491525423729</v>
      </c>
      <c r="X223" s="45">
        <f>VLOOKUP($U223,'Regional splits'!$B$15:$R$22,X$5,FALSE)</f>
        <v>0.12146892655367232</v>
      </c>
      <c r="Y223" s="45">
        <f>VLOOKUP($U223,'Regional splits'!$B$15:$R$22,Y$5,FALSE)</f>
        <v>0.11073446327683616</v>
      </c>
      <c r="Z223" s="45">
        <f>VLOOKUP($U223,'Regional splits'!$B$15:$R$22,Z$5,FALSE)</f>
        <v>7.6836158192090401E-2</v>
      </c>
      <c r="AA223" s="45">
        <f>VLOOKUP($U223,'Regional splits'!$B$15:$R$22,AA$5,FALSE)</f>
        <v>0.14745762711864407</v>
      </c>
      <c r="AB223" s="45">
        <f>VLOOKUP($U223,'Regional splits'!$B$15:$R$22,AB$5,FALSE)</f>
        <v>5.3107344632768359E-2</v>
      </c>
      <c r="AC223" s="45">
        <f>VLOOKUP($U223,'Regional splits'!$B$15:$R$22,AC$5,FALSE)</f>
        <v>7.6271186440677971E-2</v>
      </c>
      <c r="AD223" s="45">
        <f>VLOOKUP($U223,'Regional splits'!$B$15:$R$22,AD$5,FALSE)</f>
        <v>8.7570621468926552E-2</v>
      </c>
      <c r="AE223" s="45">
        <f>VLOOKUP($U223,'Regional splits'!$B$15:$R$22,AE$5,FALSE)</f>
        <v>0.13446327683615819</v>
      </c>
      <c r="AF223" s="45">
        <f>VLOOKUP($U223,'Regional splits'!$B$15:$R$22,AF$5,FALSE)</f>
        <v>9.03954802259887E-2</v>
      </c>
      <c r="AG223" s="45">
        <f>VLOOKUP($U223,'Regional splits'!$B$15:$R$22,AG$5,FALSE)</f>
        <v>0</v>
      </c>
      <c r="AH223" s="45">
        <f>VLOOKUP($U223,'Regional splits'!$B$15:$R$22,AH$5,FALSE)</f>
        <v>0</v>
      </c>
      <c r="AI223" s="45">
        <f>VLOOKUP($U223,'Regional splits'!$B$15:$R$22,AI$5,FALSE)</f>
        <v>0</v>
      </c>
      <c r="AJ223" s="45">
        <f>VLOOKUP($U223,'Regional splits'!$B$15:$R$22,AJ$5,FALSE)</f>
        <v>0</v>
      </c>
      <c r="AK223" s="45">
        <f>VLOOKUP($U223,'Regional splits'!$B$15:$R$22,AK$5,FALSE)</f>
        <v>0</v>
      </c>
      <c r="AL223" s="45">
        <f>VLOOKUP($U223,'Regional splits'!$B$15:$R$22,AL$5,FALSE)</f>
        <v>0</v>
      </c>
      <c r="AN223" s="3">
        <v>2014</v>
      </c>
      <c r="AP223">
        <f t="shared" ref="AP223:AX223" si="32">IF(ISNUMBER(SEARCH(AP$3,$AN223)),1,0)</f>
        <v>0</v>
      </c>
      <c r="AQ223">
        <f t="shared" si="32"/>
        <v>1</v>
      </c>
      <c r="AR223">
        <f t="shared" si="32"/>
        <v>0</v>
      </c>
      <c r="AS223">
        <f t="shared" si="32"/>
        <v>0</v>
      </c>
      <c r="AT223">
        <f t="shared" si="32"/>
        <v>0</v>
      </c>
      <c r="AU223">
        <f t="shared" si="32"/>
        <v>0</v>
      </c>
      <c r="AV223">
        <f t="shared" si="32"/>
        <v>0</v>
      </c>
      <c r="AW223">
        <f t="shared" si="32"/>
        <v>0</v>
      </c>
      <c r="AX223">
        <f t="shared" si="32"/>
        <v>0</v>
      </c>
      <c r="AY223">
        <f>IF(ISNUMBER(SEARCH(AY$3,$AN223)),1,0)</f>
        <v>0</v>
      </c>
      <c r="BA223" s="31">
        <f>S223*COUNTIFS(AP223:AY223,"1",$AP$4:$AY$4,"TRUE")</f>
        <v>11266506.25</v>
      </c>
    </row>
    <row r="224" spans="2:53" x14ac:dyDescent="0.25">
      <c r="C224" s="122"/>
      <c r="D224" s="26" t="s">
        <v>420</v>
      </c>
      <c r="F224" s="49">
        <v>7.5</v>
      </c>
      <c r="J224" s="76"/>
      <c r="K224" s="76"/>
      <c r="M224" s="3">
        <v>30</v>
      </c>
      <c r="N224" s="1" t="s">
        <v>428</v>
      </c>
      <c r="O224" s="3">
        <f>'Regional splits'!R9+'Regional splits'!R10</f>
        <v>1495</v>
      </c>
      <c r="P224" s="1" t="s">
        <v>308</v>
      </c>
    </row>
    <row r="225" spans="3:53" x14ac:dyDescent="0.25">
      <c r="C225" s="122"/>
      <c r="D225" s="26" t="s">
        <v>421</v>
      </c>
      <c r="F225" s="49">
        <f>5*5.4</f>
        <v>27</v>
      </c>
      <c r="J225" s="76"/>
      <c r="K225" s="76"/>
      <c r="M225" s="3">
        <v>5</v>
      </c>
      <c r="N225" s="1" t="s">
        <v>428</v>
      </c>
      <c r="O225" s="3">
        <f>'Regional splits'!R9+'Regional splits'!R10</f>
        <v>1495</v>
      </c>
      <c r="P225" s="1" t="s">
        <v>308</v>
      </c>
    </row>
    <row r="226" spans="3:53" x14ac:dyDescent="0.25">
      <c r="C226" s="122"/>
      <c r="D226" s="26" t="s">
        <v>422</v>
      </c>
      <c r="F226" s="49">
        <f>3*5.4</f>
        <v>16.200000000000003</v>
      </c>
      <c r="J226" s="76"/>
      <c r="K226" s="76"/>
      <c r="M226" s="3">
        <v>5</v>
      </c>
      <c r="N226" s="1" t="s">
        <v>428</v>
      </c>
      <c r="O226" s="3">
        <f>'Regional splits'!R9+'Regional splits'!R10</f>
        <v>1495</v>
      </c>
      <c r="P226" s="1" t="s">
        <v>308</v>
      </c>
    </row>
    <row r="227" spans="3:53" x14ac:dyDescent="0.25">
      <c r="C227" s="122"/>
      <c r="D227" s="26" t="s">
        <v>423</v>
      </c>
      <c r="F227" s="49">
        <v>55</v>
      </c>
      <c r="J227" s="76"/>
      <c r="K227" s="76"/>
      <c r="M227" s="3">
        <v>5</v>
      </c>
      <c r="N227" s="1" t="s">
        <v>428</v>
      </c>
      <c r="O227" s="3">
        <f>'Regional splits'!R9+'Regional splits'!R10</f>
        <v>1495</v>
      </c>
      <c r="P227" s="1" t="s">
        <v>308</v>
      </c>
    </row>
    <row r="228" spans="3:53" x14ac:dyDescent="0.25">
      <c r="C228" s="122"/>
      <c r="D228" s="26" t="s">
        <v>424</v>
      </c>
      <c r="F228" s="49">
        <f>1.25*5.4</f>
        <v>6.75</v>
      </c>
      <c r="J228" s="76"/>
      <c r="K228" s="76"/>
      <c r="M228" s="3">
        <v>5</v>
      </c>
      <c r="N228" s="1" t="s">
        <v>428</v>
      </c>
      <c r="O228" s="3">
        <f>'Regional splits'!R9+'Regional splits'!R10</f>
        <v>1495</v>
      </c>
      <c r="P228" s="1" t="s">
        <v>308</v>
      </c>
    </row>
    <row r="229" spans="3:53" x14ac:dyDescent="0.25">
      <c r="C229" s="122"/>
      <c r="D229" s="26" t="s">
        <v>425</v>
      </c>
      <c r="F229" s="49">
        <v>4</v>
      </c>
      <c r="J229" s="76"/>
      <c r="K229" s="76"/>
      <c r="M229" s="3">
        <v>5</v>
      </c>
      <c r="N229" s="1" t="s">
        <v>428</v>
      </c>
      <c r="O229" s="3">
        <f>'Regional splits'!R9+'Regional splits'!R10</f>
        <v>1495</v>
      </c>
      <c r="P229" s="1" t="s">
        <v>308</v>
      </c>
    </row>
    <row r="230" spans="3:53" x14ac:dyDescent="0.25">
      <c r="C230" s="122"/>
      <c r="D230" s="26" t="s">
        <v>599</v>
      </c>
      <c r="F230" s="49">
        <f>14*5.4</f>
        <v>75.600000000000009</v>
      </c>
      <c r="J230" s="76" t="s">
        <v>548</v>
      </c>
      <c r="K230" s="76"/>
      <c r="M230" s="3">
        <v>5</v>
      </c>
      <c r="N230" s="1" t="s">
        <v>428</v>
      </c>
      <c r="O230" s="3">
        <f>'Regional splits'!R9+'Regional splits'!R10</f>
        <v>1495</v>
      </c>
      <c r="P230" s="1" t="s">
        <v>308</v>
      </c>
    </row>
    <row r="231" spans="3:53" x14ac:dyDescent="0.25">
      <c r="C231" s="122"/>
      <c r="D231" s="26" t="s">
        <v>427</v>
      </c>
      <c r="F231" s="49">
        <v>13</v>
      </c>
      <c r="J231" s="76"/>
      <c r="K231" s="76"/>
      <c r="M231" s="3">
        <v>2</v>
      </c>
      <c r="N231" s="1" t="s">
        <v>428</v>
      </c>
      <c r="O231" s="3">
        <f>'Regional splits'!R9+'Regional splits'!R10</f>
        <v>1495</v>
      </c>
      <c r="P231" s="1" t="s">
        <v>308</v>
      </c>
    </row>
    <row r="232" spans="3:53" x14ac:dyDescent="0.25">
      <c r="C232" s="122"/>
      <c r="D232" s="26" t="s">
        <v>426</v>
      </c>
      <c r="F232" s="49">
        <v>45</v>
      </c>
      <c r="J232" s="76"/>
      <c r="K232" s="76"/>
      <c r="M232" s="3">
        <v>5</v>
      </c>
      <c r="N232" s="1" t="s">
        <v>429</v>
      </c>
      <c r="O232" s="3">
        <f>'Regional splits'!R8</f>
        <v>1770</v>
      </c>
      <c r="P232" s="1" t="s">
        <v>308</v>
      </c>
    </row>
    <row r="233" spans="3:53" x14ac:dyDescent="0.25">
      <c r="C233" s="122"/>
      <c r="D233" s="26" t="s">
        <v>96</v>
      </c>
      <c r="F233" s="49">
        <v>150</v>
      </c>
      <c r="J233" s="76"/>
      <c r="K233" s="76"/>
      <c r="M233" s="3">
        <v>1</v>
      </c>
      <c r="N233" s="1" t="s">
        <v>429</v>
      </c>
      <c r="O233" s="3">
        <f>O232+O217</f>
        <v>4870</v>
      </c>
      <c r="P233" s="1" t="s">
        <v>308</v>
      </c>
    </row>
    <row r="234" spans="3:53" x14ac:dyDescent="0.25">
      <c r="C234" s="122"/>
      <c r="D234" s="26" t="s">
        <v>91</v>
      </c>
      <c r="F234" s="49">
        <v>150</v>
      </c>
      <c r="J234" s="76"/>
      <c r="K234" s="76"/>
      <c r="M234" s="3">
        <v>1</v>
      </c>
      <c r="N234" s="1" t="s">
        <v>430</v>
      </c>
      <c r="O234" s="3">
        <f>O232+O217</f>
        <v>4870</v>
      </c>
      <c r="P234" s="1" t="s">
        <v>308</v>
      </c>
    </row>
    <row r="235" spans="3:53" x14ac:dyDescent="0.25">
      <c r="C235" s="122"/>
      <c r="D235" s="26" t="s">
        <v>90</v>
      </c>
      <c r="F235" s="49">
        <v>100</v>
      </c>
      <c r="J235" s="76"/>
      <c r="K235" s="76"/>
      <c r="M235" s="3">
        <v>1</v>
      </c>
      <c r="N235" s="1" t="s">
        <v>430</v>
      </c>
      <c r="O235" s="3">
        <f>O232+O217</f>
        <v>4870</v>
      </c>
      <c r="P235" s="1" t="s">
        <v>308</v>
      </c>
    </row>
    <row r="236" spans="3:53" ht="15.75" thickBot="1" x14ac:dyDescent="0.3">
      <c r="C236" s="123"/>
      <c r="D236" s="26" t="s">
        <v>860</v>
      </c>
      <c r="F236" s="49">
        <v>1000</v>
      </c>
      <c r="J236" s="76"/>
      <c r="K236" s="76"/>
      <c r="M236" s="3">
        <v>1</v>
      </c>
      <c r="N236" s="1" t="s">
        <v>861</v>
      </c>
      <c r="O236" s="3">
        <f>'Regional splits'!R9</f>
        <v>438</v>
      </c>
      <c r="P236" s="1" t="s">
        <v>308</v>
      </c>
    </row>
    <row r="237" spans="3:53" ht="15.75" thickBot="1" x14ac:dyDescent="0.3">
      <c r="J237" s="76"/>
      <c r="K237" s="76"/>
    </row>
    <row r="238" spans="3:53" ht="75.75" customHeight="1" x14ac:dyDescent="0.25">
      <c r="C238" s="118" t="s">
        <v>576</v>
      </c>
      <c r="D238" s="26" t="s">
        <v>752</v>
      </c>
      <c r="E238" s="26" t="s">
        <v>241</v>
      </c>
      <c r="F238" s="39" t="s">
        <v>227</v>
      </c>
      <c r="J238" s="76"/>
      <c r="K238" s="76"/>
      <c r="M238" s="3">
        <v>20</v>
      </c>
      <c r="N238" s="1" t="s">
        <v>225</v>
      </c>
      <c r="O238" s="3">
        <v>2</v>
      </c>
      <c r="P238" s="1" t="s">
        <v>229</v>
      </c>
      <c r="S238" s="27">
        <f>(HLOOKUP(M239,$AR$19:$AU$31,$AO$20,FALSE)+ROUNDUP(M240,0)*(HLOOKUP(M239,$AR$19:$AU$31,$AO$22,FALSE)+HLOOKUP(M239,$AR$19:$AU$31,$AO$24,FALSE)+M238*HLOOKUP(M239,$AR$19:$AU$31,$AO$23,FALSE)+(M238+HLOOKUP(M239,$AR$19:$AU$31,$AO$27,FALSE))*HLOOKUP(M239,$AR$19:$AU$31,$AO$25,FALSE))+(M238+HLOOKUP(M239,$AR$19:$AU$31,$AO$28,FALSE))*IF(M240&gt;0.5,HLOOKUP(M239,$AR$19:$AU$31,$AO$30,FALSE),HLOOKUP(M239,$AR$19:$AU$31,$AO$31,FALSE)))*O238+F241*M241*O238</f>
        <v>176952.128</v>
      </c>
      <c r="U238" s="3" t="s">
        <v>176</v>
      </c>
      <c r="W238" s="45">
        <f>VLOOKUP($U238,'Regional splits'!$B$15:$R$22,W$5,FALSE)</f>
        <v>0</v>
      </c>
      <c r="X238" s="45">
        <f>VLOOKUP($U238,'Regional splits'!$B$15:$R$22,X$5,FALSE)</f>
        <v>0</v>
      </c>
      <c r="Y238" s="45">
        <f>VLOOKUP($U238,'Regional splits'!$B$15:$R$22,Y$5,FALSE)</f>
        <v>0</v>
      </c>
      <c r="Z238" s="45">
        <f>VLOOKUP($U238,'Regional splits'!$B$15:$R$22,Z$5,FALSE)</f>
        <v>0</v>
      </c>
      <c r="AA238" s="45">
        <f>VLOOKUP($U238,'Regional splits'!$B$15:$R$22,AA$5,FALSE)</f>
        <v>0</v>
      </c>
      <c r="AB238" s="45">
        <f>VLOOKUP($U238,'Regional splits'!$B$15:$R$22,AB$5,FALSE)</f>
        <v>0</v>
      </c>
      <c r="AC238" s="45">
        <f>VLOOKUP($U238,'Regional splits'!$B$15:$R$22,AC$5,FALSE)</f>
        <v>0</v>
      </c>
      <c r="AD238" s="45">
        <f>VLOOKUP($U238,'Regional splits'!$B$15:$R$22,AD$5,FALSE)</f>
        <v>0</v>
      </c>
      <c r="AE238" s="45">
        <f>VLOOKUP($U238,'Regional splits'!$B$15:$R$22,AE$5,FALSE)</f>
        <v>0</v>
      </c>
      <c r="AF238" s="45">
        <f>VLOOKUP($U238,'Regional splits'!$B$15:$R$22,AF$5,FALSE)</f>
        <v>0</v>
      </c>
      <c r="AG238" s="45">
        <f>VLOOKUP($U238,'Regional splits'!$B$15:$R$22,AG$5,FALSE)</f>
        <v>0</v>
      </c>
      <c r="AH238" s="45">
        <f>VLOOKUP($U238,'Regional splits'!$B$15:$R$22,AH$5,FALSE)</f>
        <v>0</v>
      </c>
      <c r="AI238" s="45">
        <f>VLOOKUP($U238,'Regional splits'!$B$15:$R$22,AI$5,FALSE)</f>
        <v>0</v>
      </c>
      <c r="AJ238" s="45">
        <f>VLOOKUP($U238,'Regional splits'!$B$15:$R$22,AJ$5,FALSE)</f>
        <v>0</v>
      </c>
      <c r="AK238" s="45">
        <f>VLOOKUP($U238,'Regional splits'!$B$15:$R$22,AK$5,FALSE)</f>
        <v>0</v>
      </c>
      <c r="AL238" s="45">
        <f>VLOOKUP($U238,'Regional splits'!$B$15:$R$22,AL$5,FALSE)</f>
        <v>1</v>
      </c>
      <c r="AN238" s="3" t="s">
        <v>574</v>
      </c>
      <c r="AP238">
        <f t="shared" ref="AP238:AX238" si="33">IF(ISNUMBER(SEARCH(AP$3,$AN238)),1,0)</f>
        <v>1</v>
      </c>
      <c r="AQ238">
        <f t="shared" si="33"/>
        <v>1</v>
      </c>
      <c r="AR238">
        <f t="shared" si="33"/>
        <v>1</v>
      </c>
      <c r="AS238">
        <f t="shared" si="33"/>
        <v>1</v>
      </c>
      <c r="AT238">
        <f t="shared" si="33"/>
        <v>0</v>
      </c>
      <c r="AU238">
        <f t="shared" si="33"/>
        <v>0</v>
      </c>
      <c r="AV238">
        <f t="shared" si="33"/>
        <v>0</v>
      </c>
      <c r="AW238">
        <f t="shared" si="33"/>
        <v>0</v>
      </c>
      <c r="AX238">
        <f t="shared" si="33"/>
        <v>0</v>
      </c>
      <c r="AY238">
        <f>IF(ISNUMBER(SEARCH(AY$3,$AN238)),1,0)</f>
        <v>0</v>
      </c>
      <c r="BA238" s="31">
        <f>S238*COUNTIFS(AP238:AY238,"1",$AP$4:$AY$4,"TRUE")</f>
        <v>707808.51199999999</v>
      </c>
    </row>
    <row r="239" spans="3:53" x14ac:dyDescent="0.25">
      <c r="C239" s="119"/>
      <c r="J239" s="76"/>
      <c r="K239" s="76"/>
      <c r="M239" s="3" t="s">
        <v>50</v>
      </c>
      <c r="N239" s="1" t="s">
        <v>226</v>
      </c>
      <c r="U239" s="26"/>
      <c r="V239" s="26"/>
      <c r="W239" s="84"/>
      <c r="X239" s="84"/>
      <c r="Y239" s="84"/>
      <c r="Z239" s="84"/>
      <c r="AA239" s="84"/>
      <c r="AB239" s="84"/>
      <c r="AC239" s="84"/>
      <c r="AD239" s="84"/>
      <c r="AE239" s="84"/>
      <c r="AF239" s="84"/>
      <c r="AG239" s="84"/>
      <c r="AH239" s="84"/>
      <c r="AI239" s="84"/>
      <c r="AJ239" s="84"/>
      <c r="AK239" s="84"/>
      <c r="AL239" s="84"/>
      <c r="AM239" s="26"/>
      <c r="AN239" s="26"/>
      <c r="AZ239" s="26"/>
    </row>
    <row r="240" spans="3:53" ht="15.75" thickBot="1" x14ac:dyDescent="0.3">
      <c r="C240" s="120"/>
      <c r="J240" s="76"/>
      <c r="K240" s="76"/>
      <c r="M240" s="3">
        <v>5</v>
      </c>
      <c r="N240" s="1" t="s">
        <v>252</v>
      </c>
      <c r="U240" s="26"/>
      <c r="W240" s="84"/>
      <c r="X240" s="84"/>
      <c r="Y240" s="84"/>
      <c r="Z240" s="84"/>
      <c r="AA240" s="84"/>
      <c r="AB240" s="84"/>
      <c r="AC240" s="84"/>
      <c r="AD240" s="84"/>
      <c r="AE240" s="84"/>
      <c r="AF240" s="84"/>
      <c r="AG240" s="84"/>
      <c r="AH240" s="84"/>
      <c r="AI240" s="84"/>
      <c r="AJ240" s="84"/>
      <c r="AK240" s="84"/>
      <c r="AL240" s="84"/>
      <c r="AN240" s="26"/>
      <c r="AZ240" s="26"/>
    </row>
    <row r="241" spans="2:53" ht="15.75" thickBot="1" x14ac:dyDescent="0.3">
      <c r="C241" s="53"/>
      <c r="F241" s="33"/>
      <c r="G241" s="33"/>
      <c r="J241" s="76"/>
      <c r="K241" s="76"/>
    </row>
    <row r="242" spans="2:53" ht="60.75" thickBot="1" x14ac:dyDescent="0.3">
      <c r="B242" s="53"/>
      <c r="C242" s="52" t="s">
        <v>600</v>
      </c>
      <c r="D242" s="26" t="s">
        <v>601</v>
      </c>
      <c r="E242" s="26" t="s">
        <v>68</v>
      </c>
      <c r="F242" s="32">
        <v>1500</v>
      </c>
      <c r="G242" s="33" t="s">
        <v>189</v>
      </c>
      <c r="J242" s="76"/>
      <c r="K242" s="76"/>
      <c r="M242" s="3">
        <v>1</v>
      </c>
      <c r="N242" s="1" t="s">
        <v>223</v>
      </c>
      <c r="O242" s="3">
        <v>10</v>
      </c>
      <c r="P242" s="1" t="s">
        <v>224</v>
      </c>
      <c r="S242" s="27">
        <f>F242*M242*O242</f>
        <v>15000</v>
      </c>
      <c r="U242" s="3" t="s">
        <v>176</v>
      </c>
      <c r="W242" s="45">
        <f>VLOOKUP($U242,'Regional splits'!$B$15:$R$22,W$5,FALSE)</f>
        <v>0</v>
      </c>
      <c r="X242" s="45">
        <f>VLOOKUP($U242,'Regional splits'!$B$15:$R$22,X$5,FALSE)</f>
        <v>0</v>
      </c>
      <c r="Y242" s="45">
        <f>VLOOKUP($U242,'Regional splits'!$B$15:$R$22,Y$5,FALSE)</f>
        <v>0</v>
      </c>
      <c r="Z242" s="45">
        <f>VLOOKUP($U242,'Regional splits'!$B$15:$R$22,Z$5,FALSE)</f>
        <v>0</v>
      </c>
      <c r="AA242" s="45">
        <f>VLOOKUP($U242,'Regional splits'!$B$15:$R$22,AA$5,FALSE)</f>
        <v>0</v>
      </c>
      <c r="AB242" s="45">
        <f>VLOOKUP($U242,'Regional splits'!$B$15:$R$22,AB$5,FALSE)</f>
        <v>0</v>
      </c>
      <c r="AC242" s="45">
        <f>VLOOKUP($U242,'Regional splits'!$B$15:$R$22,AC$5,FALSE)</f>
        <v>0</v>
      </c>
      <c r="AD242" s="45">
        <f>VLOOKUP($U242,'Regional splits'!$B$15:$R$22,AD$5,FALSE)</f>
        <v>0</v>
      </c>
      <c r="AE242" s="45">
        <f>VLOOKUP($U242,'Regional splits'!$B$15:$R$22,AE$5,FALSE)</f>
        <v>0</v>
      </c>
      <c r="AF242" s="45">
        <f>VLOOKUP($U242,'Regional splits'!$B$15:$R$22,AF$5,FALSE)</f>
        <v>0</v>
      </c>
      <c r="AG242" s="45">
        <f>VLOOKUP($U242,'Regional splits'!$B$15:$R$22,AG$5,FALSE)</f>
        <v>0</v>
      </c>
      <c r="AH242" s="45">
        <f>VLOOKUP($U242,'Regional splits'!$B$15:$R$22,AH$5,FALSE)</f>
        <v>0</v>
      </c>
      <c r="AI242" s="45">
        <f>VLOOKUP($U242,'Regional splits'!$B$15:$R$22,AI$5,FALSE)</f>
        <v>0</v>
      </c>
      <c r="AJ242" s="45">
        <f>VLOOKUP($U242,'Regional splits'!$B$15:$R$22,AJ$5,FALSE)</f>
        <v>0</v>
      </c>
      <c r="AK242" s="45">
        <f>VLOOKUP($U242,'Regional splits'!$B$15:$R$22,AK$5,FALSE)</f>
        <v>0</v>
      </c>
      <c r="AL242" s="45">
        <f>VLOOKUP($U242,'Regional splits'!$B$15:$R$22,AL$5,FALSE)</f>
        <v>1</v>
      </c>
      <c r="AN242" s="3">
        <v>2013</v>
      </c>
      <c r="AP242">
        <f t="shared" ref="AP242:AX242" si="34">IF(ISNUMBER(SEARCH(AP$3,$AN242)),1,0)</f>
        <v>1</v>
      </c>
      <c r="AQ242">
        <f t="shared" si="34"/>
        <v>0</v>
      </c>
      <c r="AR242">
        <f t="shared" si="34"/>
        <v>0</v>
      </c>
      <c r="AS242">
        <f t="shared" si="34"/>
        <v>0</v>
      </c>
      <c r="AT242">
        <f t="shared" si="34"/>
        <v>0</v>
      </c>
      <c r="AU242">
        <f t="shared" si="34"/>
        <v>0</v>
      </c>
      <c r="AV242">
        <f t="shared" si="34"/>
        <v>0</v>
      </c>
      <c r="AW242">
        <f t="shared" si="34"/>
        <v>0</v>
      </c>
      <c r="AX242">
        <f t="shared" si="34"/>
        <v>0</v>
      </c>
      <c r="AY242">
        <f>IF(ISNUMBER(SEARCH(AY$3,$AN242)),1,0)</f>
        <v>0</v>
      </c>
      <c r="BA242" s="31">
        <f>S242*COUNTIFS(AP242:AY242,"1",$AP$4:$AY$4,"TRUE")</f>
        <v>15000</v>
      </c>
    </row>
    <row r="243" spans="2:53" ht="15.75" thickBot="1" x14ac:dyDescent="0.3">
      <c r="C243" s="53"/>
      <c r="F243" s="33"/>
      <c r="G243" s="33"/>
      <c r="J243" s="76"/>
      <c r="K243" s="76"/>
    </row>
    <row r="244" spans="2:53" x14ac:dyDescent="0.25">
      <c r="C244" s="118" t="s">
        <v>582</v>
      </c>
      <c r="D244" s="26" t="s">
        <v>680</v>
      </c>
      <c r="E244" s="26" t="s">
        <v>238</v>
      </c>
      <c r="F244" s="39" t="s">
        <v>227</v>
      </c>
      <c r="J244" s="76"/>
      <c r="K244" s="76"/>
      <c r="M244" s="3">
        <v>30</v>
      </c>
      <c r="N244" s="1" t="s">
        <v>225</v>
      </c>
      <c r="O244" s="3">
        <v>1</v>
      </c>
      <c r="P244" s="1" t="s">
        <v>229</v>
      </c>
      <c r="S244" s="27">
        <f>(HLOOKUP(M245,$AR$19:$AU$31,$AO$20,FALSE)+ROUNDUP(M246,0)*(HLOOKUP(M245,$AR$19:$AU$31,$AO$22,FALSE)+HLOOKUP(M245,$AR$19:$AU$31,$AO$24,FALSE)+M244*HLOOKUP(M245,$AR$19:$AU$31,$AO$23,FALSE)+(M244+HLOOKUP(M245,$AR$19:$AU$31,$AO$27,FALSE))*HLOOKUP(M245,$AR$19:$AU$31,$AO$25,FALSE))+(M244+HLOOKUP(M245,$AR$19:$AU$31,$AO$28,FALSE))*IF(M246&gt;0.5,HLOOKUP(M245,$AR$19:$AU$31,$AO$30,FALSE),HLOOKUP(M245,$AR$19:$AU$31,$AO$31,FALSE)))*O244+F247*M247*O244</f>
        <v>28677.576000000001</v>
      </c>
      <c r="U244" s="3" t="s">
        <v>176</v>
      </c>
      <c r="W244" s="45">
        <f>VLOOKUP($U244,'Regional splits'!$B$15:$R$22,W$5,FALSE)</f>
        <v>0</v>
      </c>
      <c r="X244" s="45">
        <f>VLOOKUP($U244,'Regional splits'!$B$15:$R$22,X$5,FALSE)</f>
        <v>0</v>
      </c>
      <c r="Y244" s="45">
        <f>VLOOKUP($U244,'Regional splits'!$B$15:$R$22,Y$5,FALSE)</f>
        <v>0</v>
      </c>
      <c r="Z244" s="45">
        <f>VLOOKUP($U244,'Regional splits'!$B$15:$R$22,Z$5,FALSE)</f>
        <v>0</v>
      </c>
      <c r="AA244" s="45">
        <f>VLOOKUP($U244,'Regional splits'!$B$15:$R$22,AA$5,FALSE)</f>
        <v>0</v>
      </c>
      <c r="AB244" s="45">
        <f>VLOOKUP($U244,'Regional splits'!$B$15:$R$22,AB$5,FALSE)</f>
        <v>0</v>
      </c>
      <c r="AC244" s="45">
        <f>VLOOKUP($U244,'Regional splits'!$B$15:$R$22,AC$5,FALSE)</f>
        <v>0</v>
      </c>
      <c r="AD244" s="45">
        <f>VLOOKUP($U244,'Regional splits'!$B$15:$R$22,AD$5,FALSE)</f>
        <v>0</v>
      </c>
      <c r="AE244" s="45">
        <f>VLOOKUP($U244,'Regional splits'!$B$15:$R$22,AE$5,FALSE)</f>
        <v>0</v>
      </c>
      <c r="AF244" s="45">
        <f>VLOOKUP($U244,'Regional splits'!$B$15:$R$22,AF$5,FALSE)</f>
        <v>0</v>
      </c>
      <c r="AG244" s="45">
        <f>VLOOKUP($U244,'Regional splits'!$B$15:$R$22,AG$5,FALSE)</f>
        <v>0</v>
      </c>
      <c r="AH244" s="45">
        <f>VLOOKUP($U244,'Regional splits'!$B$15:$R$22,AH$5,FALSE)</f>
        <v>0</v>
      </c>
      <c r="AI244" s="45">
        <f>VLOOKUP($U244,'Regional splits'!$B$15:$R$22,AI$5,FALSE)</f>
        <v>0</v>
      </c>
      <c r="AJ244" s="45">
        <f>VLOOKUP($U244,'Regional splits'!$B$15:$R$22,AJ$5,FALSE)</f>
        <v>0</v>
      </c>
      <c r="AK244" s="45">
        <f>VLOOKUP($U244,'Regional splits'!$B$15:$R$22,AK$5,FALSE)</f>
        <v>0</v>
      </c>
      <c r="AL244" s="45">
        <f>VLOOKUP($U244,'Regional splits'!$B$15:$R$22,AL$5,FALSE)</f>
        <v>1</v>
      </c>
      <c r="AN244" s="3">
        <v>2014</v>
      </c>
      <c r="AP244">
        <f t="shared" ref="AP244:AX244" si="35">IF(ISNUMBER(SEARCH(AP$3,$AN244)),1,0)</f>
        <v>0</v>
      </c>
      <c r="AQ244">
        <f t="shared" si="35"/>
        <v>1</v>
      </c>
      <c r="AR244">
        <f t="shared" si="35"/>
        <v>0</v>
      </c>
      <c r="AS244">
        <f t="shared" si="35"/>
        <v>0</v>
      </c>
      <c r="AT244">
        <f t="shared" si="35"/>
        <v>0</v>
      </c>
      <c r="AU244">
        <f t="shared" si="35"/>
        <v>0</v>
      </c>
      <c r="AV244">
        <f t="shared" si="35"/>
        <v>0</v>
      </c>
      <c r="AW244">
        <f t="shared" si="35"/>
        <v>0</v>
      </c>
      <c r="AX244">
        <f t="shared" si="35"/>
        <v>0</v>
      </c>
      <c r="AY244">
        <f>IF(ISNUMBER(SEARCH(AY$3,$AN244)),1,0)</f>
        <v>0</v>
      </c>
      <c r="BA244" s="31">
        <f>S244*COUNTIFS(AP244:AY244,"1",$AP$4:$AY$4,"TRUE")</f>
        <v>28677.576000000001</v>
      </c>
    </row>
    <row r="245" spans="2:53" x14ac:dyDescent="0.25">
      <c r="C245" s="119"/>
      <c r="J245" s="76"/>
      <c r="K245" s="76"/>
      <c r="M245" s="3" t="s">
        <v>50</v>
      </c>
      <c r="N245" s="1" t="s">
        <v>226</v>
      </c>
      <c r="W245" s="84"/>
      <c r="X245" s="84"/>
      <c r="Y245" s="84"/>
      <c r="Z245" s="84"/>
      <c r="AA245" s="84"/>
      <c r="AB245" s="84"/>
      <c r="AC245" s="84"/>
      <c r="AD245" s="84"/>
      <c r="AE245" s="84"/>
      <c r="AF245" s="84"/>
      <c r="AG245" s="84"/>
      <c r="AH245" s="84"/>
      <c r="AI245" s="84"/>
      <c r="AJ245" s="84"/>
      <c r="AK245" s="84"/>
      <c r="AL245" s="84"/>
      <c r="BA245"/>
    </row>
    <row r="246" spans="2:53" ht="56.25" customHeight="1" thickBot="1" x14ac:dyDescent="0.3">
      <c r="C246" s="120"/>
      <c r="J246" s="76"/>
      <c r="K246" s="76"/>
      <c r="M246" s="3">
        <v>1</v>
      </c>
      <c r="N246" s="1" t="s">
        <v>252</v>
      </c>
      <c r="W246" s="84"/>
      <c r="X246" s="84"/>
      <c r="Y246" s="84"/>
      <c r="Z246" s="84"/>
      <c r="AA246" s="84"/>
      <c r="AB246" s="84"/>
      <c r="AC246" s="84"/>
      <c r="AD246" s="84"/>
      <c r="AE246" s="84"/>
      <c r="AF246" s="84"/>
      <c r="AG246" s="84"/>
      <c r="AH246" s="84"/>
      <c r="AI246" s="84"/>
      <c r="AJ246" s="84"/>
      <c r="AK246" s="84"/>
      <c r="AL246" s="84"/>
      <c r="BA246"/>
    </row>
    <row r="247" spans="2:53" ht="15.75" thickBot="1" x14ac:dyDescent="0.3">
      <c r="J247" s="76"/>
      <c r="K247" s="76"/>
    </row>
    <row r="248" spans="2:53" ht="15" customHeight="1" x14ac:dyDescent="0.25">
      <c r="C248" s="121" t="s">
        <v>671</v>
      </c>
      <c r="J248" s="76"/>
      <c r="K248" s="76"/>
      <c r="M248" s="3">
        <v>1</v>
      </c>
      <c r="N248" s="1" t="s">
        <v>370</v>
      </c>
    </row>
    <row r="249" spans="2:53" ht="15" customHeight="1" x14ac:dyDescent="0.25">
      <c r="C249" s="122"/>
      <c r="D249" s="26" t="s">
        <v>351</v>
      </c>
      <c r="E249" s="26" t="s">
        <v>68</v>
      </c>
      <c r="F249" s="32">
        <v>2500</v>
      </c>
      <c r="G249" s="33" t="s">
        <v>189</v>
      </c>
      <c r="J249" s="76"/>
      <c r="K249" s="76"/>
      <c r="M249" s="3">
        <v>1</v>
      </c>
      <c r="N249" s="1" t="s">
        <v>223</v>
      </c>
      <c r="O249" s="3">
        <v>30</v>
      </c>
      <c r="P249" s="1" t="s">
        <v>224</v>
      </c>
      <c r="S249" s="27">
        <f>((HLOOKUP(M252,$AR$19:$AU$31,$AO$20,FALSE)+ROUNDUP(M253,0)*(HLOOKUP(M252,$AR$19:$AU$31,$AO$22,FALSE)+HLOOKUP(M252,$AR$19:$AU$31,$AO$24,FALSE)+M251*HLOOKUP(M252,$AR$19:$AU$31,$AO$23,FALSE)+(M251+HLOOKUP(M252,$AR$19:$AU$31,$AO$27,FALSE))*HLOOKUP(M252,$AR$19:$AU$31,$AO$25,FALSE))+(M251+HLOOKUP(M252,$AR$19:$AU$31,$AO$28,FALSE))*IF(M253&gt;0.5,HLOOKUP(M252,$AR$19:$AU$31,$AO$30,FALSE),HLOOKUP(M252,$AR$19:$AU$31,$AO$31,FALSE)))*O251+F249*M249*O249+F250*M250*O250+(F254+F255)*M254*O254+F256*M256*O256+F257*M257*O257+(HLOOKUP(M259,$AR$19:$AU$31,$AO$20,FALSE)+ROUNDUP(M260,0)*(HLOOKUP(M259,$AR$19:$AU$31,$AO$22,FALSE)+HLOOKUP(M259,$AR$19:$AU$31,$AO$24,FALSE)+M258*HLOOKUP(M259,$AR$19:$AU$31,$AO$23,FALSE)+(M258+HLOOKUP(M259,$AR$19:$AU$31,$AO$27,FALSE))*HLOOKUP(M259,$AR$19:$AU$31,$AO$25,FALSE))+(M258+HLOOKUP(M259,$AR$19:$AU$31,$AO$28,FALSE))*IF(M260&gt;0.5,HLOOKUP(M259,$AR$19:$AU$31,$AO$30,FALSE),HLOOKUP(M259,$AR$19:$AU$31,$AO$31,FALSE)))*O258)*M248</f>
        <v>341560.44799999997</v>
      </c>
      <c r="U249" s="3" t="s">
        <v>22</v>
      </c>
      <c r="W249" s="45">
        <f>VLOOKUP($U249,'Regional splits'!$B$15:$R$22,W$5,FALSE)</f>
        <v>8.3333333333333329E-2</v>
      </c>
      <c r="X249" s="45">
        <f>VLOOKUP($U249,'Regional splits'!$B$15:$R$22,X$5,FALSE)</f>
        <v>0.1388888888888889</v>
      </c>
      <c r="Y249" s="45">
        <f>VLOOKUP($U249,'Regional splits'!$B$15:$R$22,Y$5,FALSE)</f>
        <v>9.7222222222222224E-2</v>
      </c>
      <c r="Z249" s="45">
        <f>VLOOKUP($U249,'Regional splits'!$B$15:$R$22,Z$5,FALSE)</f>
        <v>9.7222222222222224E-2</v>
      </c>
      <c r="AA249" s="45">
        <f>VLOOKUP($U249,'Regional splits'!$B$15:$R$22,AA$5,FALSE)</f>
        <v>5.5555555555555552E-2</v>
      </c>
      <c r="AB249" s="45">
        <f>VLOOKUP($U249,'Regional splits'!$B$15:$R$22,AB$5,FALSE)</f>
        <v>6.9444444444444448E-2</v>
      </c>
      <c r="AC249" s="45">
        <f>VLOOKUP($U249,'Regional splits'!$B$15:$R$22,AC$5,FALSE)</f>
        <v>0.1111111111111111</v>
      </c>
      <c r="AD249" s="45">
        <f>VLOOKUP($U249,'Regional splits'!$B$15:$R$22,AD$5,FALSE)</f>
        <v>9.7222222222222224E-2</v>
      </c>
      <c r="AE249" s="45">
        <f>VLOOKUP($U249,'Regional splits'!$B$15:$R$22,AE$5,FALSE)</f>
        <v>0.15277777777777779</v>
      </c>
      <c r="AF249" s="45">
        <f>VLOOKUP($U249,'Regional splits'!$B$15:$R$22,AF$5,FALSE)</f>
        <v>9.7222222222222224E-2</v>
      </c>
      <c r="AG249" s="45">
        <f>VLOOKUP($U249,'Regional splits'!$B$15:$R$22,AG$5,FALSE)</f>
        <v>0</v>
      </c>
      <c r="AH249" s="45">
        <f>VLOOKUP($U249,'Regional splits'!$B$15:$R$22,AH$5,FALSE)</f>
        <v>0</v>
      </c>
      <c r="AI249" s="45">
        <f>VLOOKUP($U249,'Regional splits'!$B$15:$R$22,AI$5,FALSE)</f>
        <v>0</v>
      </c>
      <c r="AJ249" s="45">
        <f>VLOOKUP($U249,'Regional splits'!$B$15:$R$22,AJ$5,FALSE)</f>
        <v>0</v>
      </c>
      <c r="AK249" s="45">
        <f>VLOOKUP($U249,'Regional splits'!$B$15:$R$22,AK$5,FALSE)</f>
        <v>0</v>
      </c>
      <c r="AL249" s="45">
        <f>VLOOKUP($U249,'Regional splits'!$B$15:$R$22,AL$5,FALSE)</f>
        <v>0</v>
      </c>
      <c r="AN249" s="3">
        <v>2013</v>
      </c>
      <c r="AP249">
        <f t="shared" ref="AP249:AX249" si="36">IF(ISNUMBER(SEARCH(AP$3,$AN249)),1,0)</f>
        <v>1</v>
      </c>
      <c r="AQ249">
        <f t="shared" si="36"/>
        <v>0</v>
      </c>
      <c r="AR249">
        <f t="shared" si="36"/>
        <v>0</v>
      </c>
      <c r="AS249">
        <f t="shared" si="36"/>
        <v>0</v>
      </c>
      <c r="AT249">
        <f t="shared" si="36"/>
        <v>0</v>
      </c>
      <c r="AU249">
        <f t="shared" si="36"/>
        <v>0</v>
      </c>
      <c r="AV249">
        <f t="shared" si="36"/>
        <v>0</v>
      </c>
      <c r="AW249">
        <f t="shared" si="36"/>
        <v>0</v>
      </c>
      <c r="AX249">
        <f t="shared" si="36"/>
        <v>0</v>
      </c>
      <c r="AY249">
        <f>IF(ISNUMBER(SEARCH(AY$3,$AN249)),1,0)</f>
        <v>0</v>
      </c>
      <c r="BA249" s="31">
        <f>S249*COUNTIFS(AP249:AY249,"1",$AP$4:$AY$4,"TRUE")</f>
        <v>341560.44799999997</v>
      </c>
    </row>
    <row r="250" spans="2:53" x14ac:dyDescent="0.25">
      <c r="B250" s="23">
        <v>1</v>
      </c>
      <c r="C250" s="122"/>
      <c r="D250" s="26" t="s">
        <v>395</v>
      </c>
      <c r="F250" s="32">
        <v>2000</v>
      </c>
      <c r="G250" s="33" t="s">
        <v>17</v>
      </c>
      <c r="J250" s="76"/>
      <c r="K250" s="76"/>
      <c r="M250" s="3">
        <v>1</v>
      </c>
      <c r="N250" s="1" t="s">
        <v>369</v>
      </c>
      <c r="O250" s="3">
        <v>30</v>
      </c>
      <c r="P250" s="1" t="s">
        <v>224</v>
      </c>
    </row>
    <row r="251" spans="2:53" x14ac:dyDescent="0.25">
      <c r="B251" s="23">
        <v>1</v>
      </c>
      <c r="C251" s="122"/>
      <c r="D251" s="26" t="s">
        <v>672</v>
      </c>
      <c r="E251" s="26" t="s">
        <v>241</v>
      </c>
      <c r="F251" s="39" t="s">
        <v>227</v>
      </c>
      <c r="J251" s="76"/>
      <c r="K251" s="76"/>
      <c r="M251" s="3">
        <v>10</v>
      </c>
      <c r="N251" s="1" t="s">
        <v>225</v>
      </c>
      <c r="O251" s="3">
        <v>10</v>
      </c>
      <c r="P251" s="1" t="s">
        <v>229</v>
      </c>
    </row>
    <row r="252" spans="2:53" x14ac:dyDescent="0.25">
      <c r="C252" s="122"/>
      <c r="J252" s="76"/>
      <c r="K252" s="76"/>
      <c r="M252" s="3" t="s">
        <v>51</v>
      </c>
      <c r="N252" s="1" t="s">
        <v>226</v>
      </c>
    </row>
    <row r="253" spans="2:53" x14ac:dyDescent="0.25">
      <c r="C253" s="122"/>
      <c r="J253" s="76"/>
      <c r="K253" s="76"/>
      <c r="M253" s="3">
        <v>1</v>
      </c>
      <c r="N253" s="1" t="s">
        <v>252</v>
      </c>
    </row>
    <row r="254" spans="2:53" x14ac:dyDescent="0.25">
      <c r="B254" s="23">
        <v>1</v>
      </c>
      <c r="C254" s="122"/>
      <c r="D254" s="26" t="s">
        <v>673</v>
      </c>
      <c r="E254" s="26" t="s">
        <v>674</v>
      </c>
      <c r="F254" s="32">
        <v>0</v>
      </c>
      <c r="G254" s="33" t="s">
        <v>17</v>
      </c>
      <c r="J254" s="76"/>
      <c r="K254" s="76"/>
      <c r="M254" s="5">
        <f>'Regional splits'!R6</f>
        <v>72</v>
      </c>
      <c r="N254" s="1" t="s">
        <v>653</v>
      </c>
      <c r="O254" s="3">
        <v>5</v>
      </c>
      <c r="P254" s="1" t="s">
        <v>676</v>
      </c>
    </row>
    <row r="255" spans="2:53" x14ac:dyDescent="0.25">
      <c r="B255" s="23"/>
      <c r="C255" s="122"/>
      <c r="E255" s="26" t="s">
        <v>675</v>
      </c>
      <c r="F255" s="27">
        <f>F40*F41*G48</f>
        <v>222.208</v>
      </c>
      <c r="G255" s="33" t="s">
        <v>17</v>
      </c>
      <c r="J255" s="76"/>
      <c r="K255" s="76"/>
      <c r="M255" s="1"/>
      <c r="N255" s="1"/>
      <c r="O255" s="1"/>
      <c r="P255" s="1"/>
    </row>
    <row r="256" spans="2:53" x14ac:dyDescent="0.25">
      <c r="C256" s="122"/>
      <c r="D256" s="26" t="s">
        <v>368</v>
      </c>
      <c r="E256" s="26" t="s">
        <v>366</v>
      </c>
      <c r="F256" s="49">
        <f>E37</f>
        <v>0.75</v>
      </c>
      <c r="G256" s="33" t="s">
        <v>363</v>
      </c>
      <c r="J256" s="76"/>
      <c r="K256" s="76"/>
      <c r="M256" s="3">
        <v>2</v>
      </c>
      <c r="N256" s="1" t="s">
        <v>364</v>
      </c>
      <c r="O256" s="3">
        <f>'Regional splits'!R8</f>
        <v>1770</v>
      </c>
      <c r="P256" s="1" t="s">
        <v>365</v>
      </c>
    </row>
    <row r="257" spans="3:53" x14ac:dyDescent="0.25">
      <c r="C257" s="122"/>
      <c r="D257" s="26" t="s">
        <v>67</v>
      </c>
      <c r="E257" s="26" t="s">
        <v>279</v>
      </c>
      <c r="F257" s="32">
        <v>250</v>
      </c>
      <c r="G257" s="33" t="s">
        <v>17</v>
      </c>
      <c r="J257" s="76"/>
      <c r="K257" s="76"/>
      <c r="M257" s="3">
        <v>1</v>
      </c>
      <c r="N257" s="1" t="s">
        <v>355</v>
      </c>
      <c r="O257" s="3">
        <v>10</v>
      </c>
      <c r="P257" s="1" t="s">
        <v>224</v>
      </c>
    </row>
    <row r="258" spans="3:53" x14ac:dyDescent="0.25">
      <c r="C258" s="122"/>
      <c r="D258" s="26" t="s">
        <v>349</v>
      </c>
      <c r="E258" s="26" t="s">
        <v>238</v>
      </c>
      <c r="F258" s="39" t="s">
        <v>227</v>
      </c>
      <c r="J258" s="76"/>
      <c r="K258" s="76"/>
      <c r="M258" s="3">
        <v>30</v>
      </c>
      <c r="N258" s="1" t="s">
        <v>225</v>
      </c>
      <c r="O258" s="3">
        <v>1</v>
      </c>
      <c r="P258" s="1" t="s">
        <v>229</v>
      </c>
    </row>
    <row r="259" spans="3:53" x14ac:dyDescent="0.25">
      <c r="C259" s="122"/>
      <c r="J259" s="76"/>
      <c r="K259" s="76"/>
      <c r="M259" s="3" t="s">
        <v>50</v>
      </c>
      <c r="N259" s="1" t="s">
        <v>226</v>
      </c>
    </row>
    <row r="260" spans="3:53" ht="15.75" thickBot="1" x14ac:dyDescent="0.3">
      <c r="C260" s="123"/>
      <c r="J260" s="76"/>
      <c r="K260" s="76"/>
      <c r="M260" s="3">
        <v>1</v>
      </c>
      <c r="N260" s="1" t="s">
        <v>252</v>
      </c>
    </row>
    <row r="261" spans="3:53" ht="15.75" thickBot="1" x14ac:dyDescent="0.3">
      <c r="J261" s="76"/>
      <c r="K261" s="76"/>
    </row>
    <row r="262" spans="3:53" ht="45.75" customHeight="1" x14ac:dyDescent="0.25">
      <c r="C262" s="118" t="s">
        <v>677</v>
      </c>
      <c r="D262" s="26" t="s">
        <v>304</v>
      </c>
      <c r="E262" s="41" t="s">
        <v>386</v>
      </c>
      <c r="F262" s="32">
        <f>$F$23</f>
        <v>700</v>
      </c>
      <c r="G262" s="36" t="s">
        <v>307</v>
      </c>
      <c r="J262" s="76"/>
      <c r="K262" s="76"/>
      <c r="M262" s="3">
        <v>2</v>
      </c>
      <c r="N262" s="1" t="s">
        <v>305</v>
      </c>
      <c r="S262" s="27">
        <f>(F262+F263)*M262*O263/M263</f>
        <v>1632308.16</v>
      </c>
      <c r="U262" s="3" t="s">
        <v>573</v>
      </c>
      <c r="W262" s="45">
        <f>VLOOKUP($U262,'Regional splits'!$B$15:$R$22,W$5,FALSE)</f>
        <v>0.10169491525423729</v>
      </c>
      <c r="X262" s="45">
        <f>VLOOKUP($U262,'Regional splits'!$B$15:$R$22,X$5,FALSE)</f>
        <v>0.12146892655367232</v>
      </c>
      <c r="Y262" s="45">
        <f>VLOOKUP($U262,'Regional splits'!$B$15:$R$22,Y$5,FALSE)</f>
        <v>0.11073446327683616</v>
      </c>
      <c r="Z262" s="45">
        <f>VLOOKUP($U262,'Regional splits'!$B$15:$R$22,Z$5,FALSE)</f>
        <v>7.6836158192090401E-2</v>
      </c>
      <c r="AA262" s="45">
        <f>VLOOKUP($U262,'Regional splits'!$B$15:$R$22,AA$5,FALSE)</f>
        <v>0.14745762711864407</v>
      </c>
      <c r="AB262" s="45">
        <f>VLOOKUP($U262,'Regional splits'!$B$15:$R$22,AB$5,FALSE)</f>
        <v>5.3107344632768359E-2</v>
      </c>
      <c r="AC262" s="45">
        <f>VLOOKUP($U262,'Regional splits'!$B$15:$R$22,AC$5,FALSE)</f>
        <v>7.6271186440677971E-2</v>
      </c>
      <c r="AD262" s="45">
        <f>VLOOKUP($U262,'Regional splits'!$B$15:$R$22,AD$5,FALSE)</f>
        <v>8.7570621468926552E-2</v>
      </c>
      <c r="AE262" s="45">
        <f>VLOOKUP($U262,'Regional splits'!$B$15:$R$22,AE$5,FALSE)</f>
        <v>0.13446327683615819</v>
      </c>
      <c r="AF262" s="45">
        <f>VLOOKUP($U262,'Regional splits'!$B$15:$R$22,AF$5,FALSE)</f>
        <v>9.03954802259887E-2</v>
      </c>
      <c r="AG262" s="45">
        <f>VLOOKUP($U262,'Regional splits'!$B$15:$R$22,AG$5,FALSE)</f>
        <v>0</v>
      </c>
      <c r="AH262" s="45">
        <f>VLOOKUP($U262,'Regional splits'!$B$15:$R$22,AH$5,FALSE)</f>
        <v>0</v>
      </c>
      <c r="AI262" s="45">
        <f>VLOOKUP($U262,'Regional splits'!$B$15:$R$22,AI$5,FALSE)</f>
        <v>0</v>
      </c>
      <c r="AJ262" s="45">
        <f>VLOOKUP($U262,'Regional splits'!$B$15:$R$22,AJ$5,FALSE)</f>
        <v>0</v>
      </c>
      <c r="AK262" s="45">
        <f>VLOOKUP($U262,'Regional splits'!$B$15:$R$22,AK$5,FALSE)</f>
        <v>0</v>
      </c>
      <c r="AL262" s="45">
        <f>VLOOKUP($U262,'Regional splits'!$B$15:$R$22,AL$5,FALSE)</f>
        <v>0</v>
      </c>
      <c r="AN262" s="3" t="s">
        <v>222</v>
      </c>
      <c r="AP262">
        <f t="shared" ref="AP262:AX284" si="37">IF(ISNUMBER(SEARCH(AP$3,$AN262)),1,0)</f>
        <v>1</v>
      </c>
      <c r="AQ262">
        <f t="shared" si="37"/>
        <v>1</v>
      </c>
      <c r="AR262">
        <f t="shared" si="37"/>
        <v>1</v>
      </c>
      <c r="AS262">
        <f t="shared" si="37"/>
        <v>1</v>
      </c>
      <c r="AT262">
        <f t="shared" si="37"/>
        <v>1</v>
      </c>
      <c r="AU262">
        <f t="shared" si="37"/>
        <v>1</v>
      </c>
      <c r="AV262">
        <f t="shared" si="37"/>
        <v>1</v>
      </c>
      <c r="AW262">
        <f t="shared" si="37"/>
        <v>1</v>
      </c>
      <c r="AX262">
        <f t="shared" si="37"/>
        <v>0</v>
      </c>
      <c r="AY262">
        <f>IF(ISNUMBER(SEARCH(AY$3,$AN262)),1,0)</f>
        <v>0</v>
      </c>
      <c r="BA262" s="31">
        <f>S262*COUNTIFS(AP262:AY262,"1",$AP$4:$AY$4,"TRUE")</f>
        <v>13058465.279999999</v>
      </c>
    </row>
    <row r="263" spans="3:53" ht="15.75" thickBot="1" x14ac:dyDescent="0.3">
      <c r="C263" s="120"/>
      <c r="E263" s="26" t="s">
        <v>675</v>
      </c>
      <c r="F263" s="27">
        <f>$F$40*$F$41*$G$48</f>
        <v>222.208</v>
      </c>
      <c r="G263" s="36"/>
      <c r="J263" s="76"/>
      <c r="K263" s="76"/>
      <c r="M263" s="3">
        <v>2</v>
      </c>
      <c r="N263" s="1" t="s">
        <v>678</v>
      </c>
      <c r="O263" s="3">
        <f>'Regional splits'!R8</f>
        <v>1770</v>
      </c>
      <c r="P263" s="1" t="s">
        <v>306</v>
      </c>
      <c r="S263"/>
      <c r="W263" s="84"/>
      <c r="X263" s="84"/>
      <c r="Y263" s="84"/>
      <c r="Z263" s="84"/>
      <c r="AA263" s="84"/>
      <c r="AB263" s="84"/>
      <c r="AC263" s="84"/>
      <c r="AD263" s="84"/>
      <c r="AE263" s="84"/>
      <c r="AF263" s="84"/>
      <c r="AG263" s="84"/>
      <c r="AH263" s="84"/>
      <c r="AI263" s="84"/>
      <c r="AJ263" s="84"/>
      <c r="AK263" s="84"/>
      <c r="AL263" s="84"/>
      <c r="BA263"/>
    </row>
    <row r="264" spans="3:53" ht="15.75" thickBot="1" x14ac:dyDescent="0.3">
      <c r="J264" s="76"/>
      <c r="K264" s="76"/>
    </row>
    <row r="265" spans="3:53" x14ac:dyDescent="0.25">
      <c r="C265" s="118" t="s">
        <v>679</v>
      </c>
      <c r="D265" s="26" t="s">
        <v>680</v>
      </c>
      <c r="E265" s="26" t="s">
        <v>238</v>
      </c>
      <c r="F265" s="39" t="s">
        <v>227</v>
      </c>
      <c r="J265" s="76"/>
      <c r="K265" s="76"/>
      <c r="M265" s="3">
        <v>10</v>
      </c>
      <c r="N265" s="1" t="s">
        <v>225</v>
      </c>
      <c r="O265" s="3">
        <v>10</v>
      </c>
      <c r="P265" s="1" t="s">
        <v>229</v>
      </c>
      <c r="S265" s="27">
        <f>(HLOOKUP(M266,$AR$19:$AU$31,$AO$20,FALSE)+ROUNDUP(M267,0)*(HLOOKUP(M266,$AR$19:$AU$31,$AO$22,FALSE)+HLOOKUP(M266,$AR$19:$AU$31,$AO$24,FALSE)+M265*HLOOKUP(M266,$AR$19:$AU$31,$AO$23,FALSE)+(M265+HLOOKUP(M266,$AR$19:$AU$31,$AO$27,FALSE))*HLOOKUP(M266,$AR$19:$AU$31,$AO$25,FALSE))+(M265+HLOOKUP(M266,$AR$19:$AU$31,$AO$28,FALSE))*IF(M267&gt;0.5,HLOOKUP(M266,$AR$19:$AU$31,$AO$30,FALSE),HLOOKUP(M266,$AR$19:$AU$31,$AO$31,FALSE)))*O265+F268*M268*O265</f>
        <v>86732.991999999998</v>
      </c>
      <c r="U265" s="3" t="s">
        <v>177</v>
      </c>
      <c r="W265" s="45">
        <f>VLOOKUP($U265,'Regional splits'!$B$15:$R$22,W$5,FALSE)</f>
        <v>0.1</v>
      </c>
      <c r="X265" s="45">
        <f>VLOOKUP($U265,'Regional splits'!$B$15:$R$22,X$5,FALSE)</f>
        <v>0.1</v>
      </c>
      <c r="Y265" s="45">
        <f>VLOOKUP($U265,'Regional splits'!$B$15:$R$22,Y$5,FALSE)</f>
        <v>0.1</v>
      </c>
      <c r="Z265" s="45">
        <f>VLOOKUP($U265,'Regional splits'!$B$15:$R$22,Z$5,FALSE)</f>
        <v>0.1</v>
      </c>
      <c r="AA265" s="45">
        <f>VLOOKUP($U265,'Regional splits'!$B$15:$R$22,AA$5,FALSE)</f>
        <v>0.1</v>
      </c>
      <c r="AB265" s="45">
        <f>VLOOKUP($U265,'Regional splits'!$B$15:$R$22,AB$5,FALSE)</f>
        <v>0.1</v>
      </c>
      <c r="AC265" s="45">
        <f>VLOOKUP($U265,'Regional splits'!$B$15:$R$22,AC$5,FALSE)</f>
        <v>0.1</v>
      </c>
      <c r="AD265" s="45">
        <f>VLOOKUP($U265,'Regional splits'!$B$15:$R$22,AD$5,FALSE)</f>
        <v>0.1</v>
      </c>
      <c r="AE265" s="45">
        <f>VLOOKUP($U265,'Regional splits'!$B$15:$R$22,AE$5,FALSE)</f>
        <v>0.1</v>
      </c>
      <c r="AF265" s="45">
        <f>VLOOKUP($U265,'Regional splits'!$B$15:$R$22,AF$5,FALSE)</f>
        <v>0.1</v>
      </c>
      <c r="AG265" s="45">
        <f>VLOOKUP($U265,'Regional splits'!$B$15:$R$22,AG$5,FALSE)</f>
        <v>0</v>
      </c>
      <c r="AH265" s="45">
        <f>VLOOKUP($U265,'Regional splits'!$B$15:$R$22,AH$5,FALSE)</f>
        <v>0</v>
      </c>
      <c r="AI265" s="45">
        <f>VLOOKUP($U265,'Regional splits'!$B$15:$R$22,AI$5,FALSE)</f>
        <v>0</v>
      </c>
      <c r="AJ265" s="45">
        <f>VLOOKUP($U265,'Regional splits'!$B$15:$R$22,AJ$5,FALSE)</f>
        <v>0</v>
      </c>
      <c r="AK265" s="45">
        <f>VLOOKUP($U265,'Regional splits'!$B$15:$R$22,AK$5,FALSE)</f>
        <v>0</v>
      </c>
      <c r="AL265" s="45">
        <f>VLOOKUP($U265,'Regional splits'!$B$15:$R$22,AL$5,FALSE)</f>
        <v>0</v>
      </c>
      <c r="AN265" s="3">
        <v>2014</v>
      </c>
      <c r="AP265">
        <f t="shared" si="37"/>
        <v>0</v>
      </c>
      <c r="AQ265">
        <f t="shared" si="37"/>
        <v>1</v>
      </c>
      <c r="AR265">
        <f t="shared" si="37"/>
        <v>0</v>
      </c>
      <c r="AS265">
        <f t="shared" si="37"/>
        <v>0</v>
      </c>
      <c r="AT265">
        <f t="shared" si="37"/>
        <v>0</v>
      </c>
      <c r="AU265">
        <f t="shared" si="37"/>
        <v>0</v>
      </c>
      <c r="AV265">
        <f t="shared" si="37"/>
        <v>0</v>
      </c>
      <c r="AW265">
        <f t="shared" si="37"/>
        <v>0</v>
      </c>
      <c r="AX265">
        <f t="shared" si="37"/>
        <v>0</v>
      </c>
      <c r="AY265">
        <f>IF(ISNUMBER(SEARCH(AY$3,$AN265)),1,0)</f>
        <v>0</v>
      </c>
      <c r="BA265" s="31">
        <f>S265*COUNTIFS(AP265:AY265,"1",$AP$4:$AY$4,"TRUE")</f>
        <v>86732.991999999998</v>
      </c>
    </row>
    <row r="266" spans="3:53" x14ac:dyDescent="0.25">
      <c r="C266" s="119"/>
      <c r="J266" s="76"/>
      <c r="K266" s="76"/>
      <c r="M266" s="3" t="s">
        <v>51</v>
      </c>
      <c r="N266" s="1" t="s">
        <v>226</v>
      </c>
      <c r="U266" s="26"/>
      <c r="V266" s="26"/>
      <c r="W266" s="84"/>
      <c r="X266" s="84"/>
      <c r="Y266" s="84"/>
      <c r="Z266" s="84"/>
      <c r="AA266" s="84"/>
      <c r="AB266" s="84"/>
      <c r="AC266" s="84"/>
      <c r="AD266" s="84"/>
      <c r="AE266" s="84"/>
      <c r="AF266" s="84"/>
      <c r="AG266" s="84"/>
      <c r="AH266" s="84"/>
      <c r="AI266" s="84"/>
      <c r="AJ266" s="84"/>
      <c r="AK266" s="84"/>
      <c r="AL266" s="84"/>
      <c r="AN266" s="26"/>
      <c r="AZ266" s="26"/>
    </row>
    <row r="267" spans="3:53" ht="48.75" customHeight="1" thickBot="1" x14ac:dyDescent="0.3">
      <c r="C267" s="120"/>
      <c r="J267" s="76"/>
      <c r="K267" s="76"/>
      <c r="M267" s="3">
        <v>0.5</v>
      </c>
      <c r="N267" s="1" t="s">
        <v>252</v>
      </c>
      <c r="U267" s="26"/>
      <c r="V267" s="26"/>
      <c r="W267" s="84"/>
      <c r="X267" s="84"/>
      <c r="Y267" s="84"/>
      <c r="Z267" s="84"/>
      <c r="AA267" s="84"/>
      <c r="AB267" s="84"/>
      <c r="AC267" s="84"/>
      <c r="AD267" s="84"/>
      <c r="AE267" s="84"/>
      <c r="AF267" s="84"/>
      <c r="AG267" s="84"/>
      <c r="AH267" s="84"/>
      <c r="AI267" s="84"/>
      <c r="AJ267" s="84"/>
      <c r="AK267" s="84"/>
      <c r="AL267" s="84"/>
      <c r="AN267" s="26"/>
    </row>
    <row r="268" spans="3:53" ht="15.75" thickBot="1" x14ac:dyDescent="0.3">
      <c r="J268" s="76"/>
      <c r="K268" s="76"/>
    </row>
    <row r="269" spans="3:53" x14ac:dyDescent="0.25">
      <c r="C269" s="118" t="s">
        <v>681</v>
      </c>
      <c r="D269" s="26" t="s">
        <v>682</v>
      </c>
      <c r="E269" s="26" t="s">
        <v>238</v>
      </c>
      <c r="F269" s="39" t="s">
        <v>227</v>
      </c>
      <c r="J269" s="76"/>
      <c r="K269" s="76"/>
      <c r="M269" s="3">
        <v>10</v>
      </c>
      <c r="N269" s="1" t="s">
        <v>225</v>
      </c>
      <c r="O269" s="3">
        <v>20</v>
      </c>
      <c r="P269" s="1" t="s">
        <v>229</v>
      </c>
      <c r="S269" s="27">
        <f>(HLOOKUP(M270,$AR$19:$AU$31,$AO$20,FALSE)+ROUNDUP(M271,0)*(HLOOKUP(M270,$AR$19:$AU$31,$AO$22,FALSE)+HLOOKUP(M270,$AR$19:$AU$31,$AO$24,FALSE)+M269*HLOOKUP(M270,$AR$19:$AU$31,$AO$23,FALSE)+(M269+HLOOKUP(M270,$AR$19:$AU$31,$AO$27,FALSE))*HLOOKUP(M270,$AR$19:$AU$31,$AO$25,FALSE))+(M269+HLOOKUP(M270,$AR$19:$AU$31,$AO$28,FALSE))*IF(M271&gt;0.5,HLOOKUP(M270,$AR$19:$AU$31,$AO$30,FALSE),HLOOKUP(M270,$AR$19:$AU$31,$AO$31,FALSE)))*O269</f>
        <v>392584.88</v>
      </c>
      <c r="U269" s="3" t="s">
        <v>176</v>
      </c>
      <c r="W269" s="45">
        <f>VLOOKUP($U269,'Regional splits'!$B$15:$R$22,W$5,FALSE)</f>
        <v>0</v>
      </c>
      <c r="X269" s="45">
        <f>VLOOKUP($U269,'Regional splits'!$B$15:$R$22,X$5,FALSE)</f>
        <v>0</v>
      </c>
      <c r="Y269" s="45">
        <f>VLOOKUP($U269,'Regional splits'!$B$15:$R$22,Y$5,FALSE)</f>
        <v>0</v>
      </c>
      <c r="Z269" s="45">
        <f>VLOOKUP($U269,'Regional splits'!$B$15:$R$22,Z$5,FALSE)</f>
        <v>0</v>
      </c>
      <c r="AA269" s="45">
        <f>VLOOKUP($U269,'Regional splits'!$B$15:$R$22,AA$5,FALSE)</f>
        <v>0</v>
      </c>
      <c r="AB269" s="45">
        <f>VLOOKUP($U269,'Regional splits'!$B$15:$R$22,AB$5,FALSE)</f>
        <v>0</v>
      </c>
      <c r="AC269" s="45">
        <f>VLOOKUP($U269,'Regional splits'!$B$15:$R$22,AC$5,FALSE)</f>
        <v>0</v>
      </c>
      <c r="AD269" s="45">
        <f>VLOOKUP($U269,'Regional splits'!$B$15:$R$22,AD$5,FALSE)</f>
        <v>0</v>
      </c>
      <c r="AE269" s="45">
        <f>VLOOKUP($U269,'Regional splits'!$B$15:$R$22,AE$5,FALSE)</f>
        <v>0</v>
      </c>
      <c r="AF269" s="45">
        <f>VLOOKUP($U269,'Regional splits'!$B$15:$R$22,AF$5,FALSE)</f>
        <v>0</v>
      </c>
      <c r="AG269" s="45">
        <f>VLOOKUP($U269,'Regional splits'!$B$15:$R$22,AG$5,FALSE)</f>
        <v>0</v>
      </c>
      <c r="AH269" s="45">
        <f>VLOOKUP($U269,'Regional splits'!$B$15:$R$22,AH$5,FALSE)</f>
        <v>0</v>
      </c>
      <c r="AI269" s="45">
        <f>VLOOKUP($U269,'Regional splits'!$B$15:$R$22,AI$5,FALSE)</f>
        <v>0</v>
      </c>
      <c r="AJ269" s="45">
        <f>VLOOKUP($U269,'Regional splits'!$B$15:$R$22,AJ$5,FALSE)</f>
        <v>0</v>
      </c>
      <c r="AK269" s="45">
        <f>VLOOKUP($U269,'Regional splits'!$B$15:$R$22,AK$5,FALSE)</f>
        <v>0</v>
      </c>
      <c r="AL269" s="45">
        <f>VLOOKUP($U269,'Regional splits'!$B$15:$R$22,AL$5,FALSE)</f>
        <v>1</v>
      </c>
      <c r="AN269" s="3">
        <v>2014</v>
      </c>
      <c r="AP269">
        <f t="shared" si="37"/>
        <v>0</v>
      </c>
      <c r="AQ269">
        <f t="shared" si="37"/>
        <v>1</v>
      </c>
      <c r="AR269">
        <f t="shared" si="37"/>
        <v>0</v>
      </c>
      <c r="AS269">
        <f t="shared" si="37"/>
        <v>0</v>
      </c>
      <c r="AT269">
        <f t="shared" si="37"/>
        <v>0</v>
      </c>
      <c r="AU269">
        <f t="shared" si="37"/>
        <v>0</v>
      </c>
      <c r="AV269">
        <f t="shared" si="37"/>
        <v>0</v>
      </c>
      <c r="AW269">
        <f t="shared" si="37"/>
        <v>0</v>
      </c>
      <c r="AX269">
        <f t="shared" si="37"/>
        <v>0</v>
      </c>
      <c r="AY269">
        <f>IF(ISNUMBER(SEARCH(AY$3,$AN269)),1,0)</f>
        <v>0</v>
      </c>
      <c r="BA269" s="31">
        <f>S269*COUNTIFS(AP269:AY269,"1",$AP$4:$AY$4,"TRUE")</f>
        <v>392584.88</v>
      </c>
    </row>
    <row r="270" spans="3:53" x14ac:dyDescent="0.25">
      <c r="C270" s="119"/>
      <c r="J270" s="76"/>
      <c r="K270" s="76"/>
      <c r="M270" s="3" t="s">
        <v>47</v>
      </c>
      <c r="N270" s="1" t="s">
        <v>226</v>
      </c>
      <c r="U270" s="26"/>
      <c r="V270" s="26"/>
      <c r="W270" s="84"/>
      <c r="X270" s="84"/>
      <c r="Y270" s="84"/>
      <c r="Z270" s="84"/>
      <c r="AA270" s="84"/>
      <c r="AB270" s="84"/>
      <c r="AC270" s="84"/>
      <c r="AD270" s="84"/>
      <c r="AE270" s="84"/>
      <c r="AF270" s="84"/>
      <c r="AG270" s="84"/>
      <c r="AH270" s="84"/>
      <c r="AI270" s="84"/>
      <c r="AJ270" s="84"/>
      <c r="AK270" s="84"/>
      <c r="AL270" s="84"/>
      <c r="AN270" s="26"/>
      <c r="AZ270" s="26"/>
    </row>
    <row r="271" spans="3:53" ht="64.5" customHeight="1" thickBot="1" x14ac:dyDescent="0.3">
      <c r="C271" s="120"/>
      <c r="J271" s="76"/>
      <c r="K271" s="76"/>
      <c r="M271" s="3">
        <v>0.5</v>
      </c>
      <c r="N271" s="1" t="s">
        <v>252</v>
      </c>
      <c r="U271" s="26"/>
      <c r="V271" s="26"/>
      <c r="W271" s="84"/>
      <c r="X271" s="84"/>
      <c r="Y271" s="84"/>
      <c r="Z271" s="84"/>
      <c r="AA271" s="84"/>
      <c r="AB271" s="84"/>
      <c r="AC271" s="84"/>
      <c r="AD271" s="84"/>
      <c r="AE271" s="84"/>
      <c r="AF271" s="84"/>
      <c r="AG271" s="84"/>
      <c r="AH271" s="84"/>
      <c r="AI271" s="84"/>
      <c r="AJ271" s="84"/>
      <c r="AK271" s="84"/>
      <c r="AL271" s="84"/>
      <c r="AN271" s="26"/>
    </row>
    <row r="272" spans="3:53" ht="15.75" thickBot="1" x14ac:dyDescent="0.3">
      <c r="J272" s="76"/>
      <c r="K272" s="76"/>
    </row>
    <row r="273" spans="2:53" ht="15" customHeight="1" x14ac:dyDescent="0.25">
      <c r="B273" s="23">
        <v>1</v>
      </c>
      <c r="C273" s="121" t="s">
        <v>683</v>
      </c>
      <c r="D273" s="26" t="s">
        <v>242</v>
      </c>
      <c r="E273" s="26" t="s">
        <v>68</v>
      </c>
      <c r="F273" s="32">
        <v>1500</v>
      </c>
      <c r="G273" s="33" t="s">
        <v>189</v>
      </c>
      <c r="J273" s="76"/>
      <c r="K273" s="76"/>
      <c r="M273" s="3">
        <v>1</v>
      </c>
      <c r="N273" s="1" t="s">
        <v>223</v>
      </c>
      <c r="O273" s="3">
        <v>10</v>
      </c>
      <c r="P273" s="1" t="s">
        <v>224</v>
      </c>
      <c r="S273" s="95">
        <f>(HLOOKUP(M275,$AR$19:$AU$31,$AO$20,FALSE)+ROUNDUP(M276,0)*(HLOOKUP(M275,$AR$19:$AU$31,$AO$22,FALSE)+HLOOKUP(M275,$AR$19:$AU$31,$AO$24,FALSE)+M274*HLOOKUP(M275,$AR$19:$AU$31,$AO$23,FALSE)+(M274+HLOOKUP(M275,$AR$19:$AU$31,$AO$27,FALSE))*HLOOKUP(M275,$AR$19:$AU$31,$AO$25,FALSE))+(M274+HLOOKUP(M275,$AR$19:$AU$31,$AO$28,FALSE))*IF(M276&gt;0.5,HLOOKUP(M275,$AR$19:$AU$31,$AO$30,FALSE),HLOOKUP(M275,$AR$19:$AU$31,$AO$31,FALSE)))*O274+F273*M273*O273+(HLOOKUP(M278,$AR$19:$AU$31,$AO$20,FALSE)+ROUNDUP(M279,0)*(HLOOKUP(M278,$AR$19:$AU$31,$AO$22,FALSE)+HLOOKUP(M278,$AR$19:$AU$31,$AO$24,FALSE)+M277*HLOOKUP(M278,$AR$19:$AU$31,$AO$23,FALSE)+(M277+HLOOKUP(M278,$AR$19:$AU$31,$AO$27,FALSE))*HLOOKUP(M278,$AR$19:$AU$31,$AO$25,FALSE))+(M277+HLOOKUP(M278,$AR$19:$AU$31,$AO$28,FALSE))*IF(M279&gt;0.5,HLOOKUP(M278,$AR$19:$AU$31,$AO$30,FALSE),HLOOKUP(M278,$AR$19:$AU$31,$AO$31,FALSE))+F280*M280)*O277</f>
        <v>1878778.068</v>
      </c>
      <c r="U273" s="3" t="s">
        <v>176</v>
      </c>
      <c r="W273" s="45">
        <f>VLOOKUP($U273,'Regional splits'!$B$15:$R$22,W$5,FALSE)</f>
        <v>0</v>
      </c>
      <c r="X273" s="45">
        <f>VLOOKUP($U273,'Regional splits'!$B$15:$R$22,X$5,FALSE)</f>
        <v>0</v>
      </c>
      <c r="Y273" s="45">
        <f>VLOOKUP($U273,'Regional splits'!$B$15:$R$22,Y$5,FALSE)</f>
        <v>0</v>
      </c>
      <c r="Z273" s="45">
        <f>VLOOKUP($U273,'Regional splits'!$B$15:$R$22,Z$5,FALSE)</f>
        <v>0</v>
      </c>
      <c r="AA273" s="45">
        <f>VLOOKUP($U273,'Regional splits'!$B$15:$R$22,AA$5,FALSE)</f>
        <v>0</v>
      </c>
      <c r="AB273" s="45">
        <f>VLOOKUP($U273,'Regional splits'!$B$15:$R$22,AB$5,FALSE)</f>
        <v>0</v>
      </c>
      <c r="AC273" s="45">
        <f>VLOOKUP($U273,'Regional splits'!$B$15:$R$22,AC$5,FALSE)</f>
        <v>0</v>
      </c>
      <c r="AD273" s="45">
        <f>VLOOKUP($U273,'Regional splits'!$B$15:$R$22,AD$5,FALSE)</f>
        <v>0</v>
      </c>
      <c r="AE273" s="45">
        <f>VLOOKUP($U273,'Regional splits'!$B$15:$R$22,AE$5,FALSE)</f>
        <v>0</v>
      </c>
      <c r="AF273" s="45">
        <f>VLOOKUP($U273,'Regional splits'!$B$15:$R$22,AF$5,FALSE)</f>
        <v>0</v>
      </c>
      <c r="AG273" s="45">
        <f>VLOOKUP($U273,'Regional splits'!$B$15:$R$22,AG$5,FALSE)</f>
        <v>0</v>
      </c>
      <c r="AH273" s="45">
        <f>VLOOKUP($U273,'Regional splits'!$B$15:$R$22,AH$5,FALSE)</f>
        <v>0</v>
      </c>
      <c r="AI273" s="45">
        <f>VLOOKUP($U273,'Regional splits'!$B$15:$R$22,AI$5,FALSE)</f>
        <v>0</v>
      </c>
      <c r="AJ273" s="45">
        <f>VLOOKUP($U273,'Regional splits'!$B$15:$R$22,AJ$5,FALSE)</f>
        <v>0</v>
      </c>
      <c r="AK273" s="45">
        <f>VLOOKUP($U273,'Regional splits'!$B$15:$R$22,AK$5,FALSE)</f>
        <v>0</v>
      </c>
      <c r="AL273" s="45">
        <f>VLOOKUP($U273,'Regional splits'!$B$15:$R$22,AL$5,FALSE)</f>
        <v>1</v>
      </c>
      <c r="AN273" s="3">
        <v>2015</v>
      </c>
      <c r="AP273">
        <f t="shared" ref="AP273:AX273" si="38">IF(ISNUMBER(SEARCH(AP$3,$AN273)),1,0)</f>
        <v>0</v>
      </c>
      <c r="AQ273">
        <f t="shared" si="38"/>
        <v>0</v>
      </c>
      <c r="AR273">
        <f t="shared" si="38"/>
        <v>1</v>
      </c>
      <c r="AS273">
        <f t="shared" si="38"/>
        <v>0</v>
      </c>
      <c r="AT273">
        <f t="shared" si="38"/>
        <v>0</v>
      </c>
      <c r="AU273">
        <f t="shared" si="38"/>
        <v>0</v>
      </c>
      <c r="AV273">
        <f t="shared" si="38"/>
        <v>0</v>
      </c>
      <c r="AW273">
        <f t="shared" si="38"/>
        <v>0</v>
      </c>
      <c r="AX273">
        <f t="shared" si="38"/>
        <v>0</v>
      </c>
      <c r="AY273">
        <f>IF(ISNUMBER(SEARCH(AY$3,$AN273)),1,0)</f>
        <v>0</v>
      </c>
      <c r="BA273" s="31">
        <f>S273*COUNTIFS(AP273:AY273,"1",$AP$4:$AY$4,"TRUE")</f>
        <v>1878778.068</v>
      </c>
    </row>
    <row r="274" spans="2:53" x14ac:dyDescent="0.25">
      <c r="B274" s="23">
        <v>1</v>
      </c>
      <c r="C274" s="122"/>
      <c r="D274" s="26" t="s">
        <v>244</v>
      </c>
      <c r="E274" s="26" t="s">
        <v>238</v>
      </c>
      <c r="F274" s="39" t="s">
        <v>227</v>
      </c>
      <c r="J274" s="76"/>
      <c r="K274" s="76"/>
      <c r="M274" s="3">
        <v>20</v>
      </c>
      <c r="N274" s="1" t="s">
        <v>225</v>
      </c>
      <c r="O274" s="3">
        <v>1</v>
      </c>
      <c r="P274" s="1" t="s">
        <v>229</v>
      </c>
    </row>
    <row r="275" spans="2:53" x14ac:dyDescent="0.25">
      <c r="C275" s="122"/>
      <c r="J275" s="76"/>
      <c r="K275" s="76"/>
      <c r="M275" s="3" t="s">
        <v>50</v>
      </c>
      <c r="N275" s="1" t="s">
        <v>226</v>
      </c>
    </row>
    <row r="276" spans="2:53" x14ac:dyDescent="0.25">
      <c r="C276" s="122"/>
      <c r="J276" s="76"/>
      <c r="K276" s="76"/>
      <c r="M276" s="3">
        <v>1</v>
      </c>
      <c r="N276" s="1" t="s">
        <v>252</v>
      </c>
    </row>
    <row r="277" spans="2:53" x14ac:dyDescent="0.25">
      <c r="B277" s="23"/>
      <c r="C277" s="122"/>
      <c r="D277" s="26" t="s">
        <v>684</v>
      </c>
      <c r="E277" s="26" t="s">
        <v>241</v>
      </c>
      <c r="F277" s="39" t="s">
        <v>227</v>
      </c>
      <c r="J277" s="76"/>
      <c r="K277" s="76"/>
      <c r="M277" s="3">
        <v>30</v>
      </c>
      <c r="N277" s="1" t="s">
        <v>225</v>
      </c>
      <c r="O277" s="3">
        <v>10</v>
      </c>
      <c r="P277" s="1" t="s">
        <v>229</v>
      </c>
    </row>
    <row r="278" spans="2:53" x14ac:dyDescent="0.25">
      <c r="B278" s="23"/>
      <c r="C278" s="122"/>
      <c r="J278" s="76"/>
      <c r="K278" s="76"/>
      <c r="M278" s="3" t="s">
        <v>51</v>
      </c>
      <c r="N278" s="1" t="s">
        <v>226</v>
      </c>
    </row>
    <row r="279" spans="2:53" x14ac:dyDescent="0.25">
      <c r="B279" s="23"/>
      <c r="C279" s="122"/>
      <c r="J279" s="76"/>
      <c r="K279" s="76"/>
      <c r="M279" s="3">
        <v>10</v>
      </c>
      <c r="N279" s="1" t="s">
        <v>252</v>
      </c>
    </row>
    <row r="280" spans="2:53" ht="15.75" thickBot="1" x14ac:dyDescent="0.3">
      <c r="B280" s="23"/>
      <c r="C280" s="123"/>
      <c r="E280" s="26" t="s">
        <v>112</v>
      </c>
      <c r="F280" s="27">
        <f>$F$297*15/3</f>
        <v>47.975000000000001</v>
      </c>
      <c r="J280" s="76"/>
      <c r="K280" s="76"/>
      <c r="M280" s="3">
        <f>M277</f>
        <v>30</v>
      </c>
      <c r="N280" s="1" t="s">
        <v>284</v>
      </c>
    </row>
    <row r="281" spans="2:53" ht="15.75" thickBot="1" x14ac:dyDescent="0.3">
      <c r="J281" s="76"/>
      <c r="K281" s="76"/>
    </row>
    <row r="282" spans="2:53" ht="45.75" thickBot="1" x14ac:dyDescent="0.3">
      <c r="C282" s="52" t="s">
        <v>853</v>
      </c>
      <c r="D282" s="38"/>
      <c r="E282" s="26" t="s">
        <v>854</v>
      </c>
      <c r="F282" s="32">
        <f>S223</f>
        <v>11266506.25</v>
      </c>
      <c r="G282" s="33" t="s">
        <v>855</v>
      </c>
      <c r="J282" s="76"/>
      <c r="K282" s="76"/>
      <c r="M282" s="45">
        <v>0.25</v>
      </c>
      <c r="N282" s="1" t="s">
        <v>856</v>
      </c>
      <c r="S282" s="27">
        <f>F282*M282</f>
        <v>2816626.5625</v>
      </c>
      <c r="U282" s="3" t="s">
        <v>573</v>
      </c>
      <c r="W282" s="45">
        <f>VLOOKUP($U282,'Regional splits'!$B$15:$R$22,W$5,FALSE)</f>
        <v>0.10169491525423729</v>
      </c>
      <c r="X282" s="45">
        <f>VLOOKUP($U282,'Regional splits'!$B$15:$R$22,X$5,FALSE)</f>
        <v>0.12146892655367232</v>
      </c>
      <c r="Y282" s="45">
        <f>VLOOKUP($U282,'Regional splits'!$B$15:$R$22,Y$5,FALSE)</f>
        <v>0.11073446327683616</v>
      </c>
      <c r="Z282" s="45">
        <f>VLOOKUP($U282,'Regional splits'!$B$15:$R$22,Z$5,FALSE)</f>
        <v>7.6836158192090401E-2</v>
      </c>
      <c r="AA282" s="45">
        <f>VLOOKUP($U282,'Regional splits'!$B$15:$R$22,AA$5,FALSE)</f>
        <v>0.14745762711864407</v>
      </c>
      <c r="AB282" s="45">
        <f>VLOOKUP($U282,'Regional splits'!$B$15:$R$22,AB$5,FALSE)</f>
        <v>5.3107344632768359E-2</v>
      </c>
      <c r="AC282" s="45">
        <f>VLOOKUP($U282,'Regional splits'!$B$15:$R$22,AC$5,FALSE)</f>
        <v>7.6271186440677971E-2</v>
      </c>
      <c r="AD282" s="45">
        <f>VLOOKUP($U282,'Regional splits'!$B$15:$R$22,AD$5,FALSE)</f>
        <v>8.7570621468926552E-2</v>
      </c>
      <c r="AE282" s="45">
        <f>VLOOKUP($U282,'Regional splits'!$B$15:$R$22,AE$5,FALSE)</f>
        <v>0.13446327683615819</v>
      </c>
      <c r="AF282" s="45">
        <f>VLOOKUP($U282,'Regional splits'!$B$15:$R$22,AF$5,FALSE)</f>
        <v>9.03954802259887E-2</v>
      </c>
      <c r="AG282" s="45">
        <f>VLOOKUP($U282,'Regional splits'!$B$15:$R$22,AG$5,FALSE)</f>
        <v>0</v>
      </c>
      <c r="AH282" s="45">
        <f>VLOOKUP($U282,'Regional splits'!$B$15:$R$22,AH$5,FALSE)</f>
        <v>0</v>
      </c>
      <c r="AI282" s="45">
        <f>VLOOKUP($U282,'Regional splits'!$B$15:$R$22,AI$5,FALSE)</f>
        <v>0</v>
      </c>
      <c r="AJ282" s="45">
        <f>VLOOKUP($U282,'Regional splits'!$B$15:$R$22,AJ$5,FALSE)</f>
        <v>0</v>
      </c>
      <c r="AK282" s="45">
        <f>VLOOKUP($U282,'Regional splits'!$B$15:$R$22,AK$5,FALSE)</f>
        <v>0</v>
      </c>
      <c r="AL282" s="45">
        <f>VLOOKUP($U282,'Regional splits'!$B$15:$R$22,AL$5,FALSE)</f>
        <v>0</v>
      </c>
      <c r="AN282" s="3" t="s">
        <v>857</v>
      </c>
      <c r="AP282">
        <f t="shared" si="37"/>
        <v>0</v>
      </c>
      <c r="AQ282">
        <f t="shared" si="37"/>
        <v>0</v>
      </c>
      <c r="AR282">
        <f t="shared" si="37"/>
        <v>0</v>
      </c>
      <c r="AS282">
        <f t="shared" si="37"/>
        <v>0</v>
      </c>
      <c r="AT282">
        <f t="shared" si="37"/>
        <v>1</v>
      </c>
      <c r="AU282">
        <f t="shared" si="37"/>
        <v>0</v>
      </c>
      <c r="AV282">
        <f t="shared" si="37"/>
        <v>0</v>
      </c>
      <c r="AW282">
        <f t="shared" si="37"/>
        <v>1</v>
      </c>
      <c r="AX282">
        <f t="shared" si="37"/>
        <v>0</v>
      </c>
      <c r="AY282">
        <f>IF(ISNUMBER(SEARCH(AY$3,$AN282)),1,0)</f>
        <v>0</v>
      </c>
      <c r="BA282" s="31">
        <f>S282*COUNTIFS(AP282:AY282,"1",$AP$4:$AY$4,"TRUE")</f>
        <v>5633253.125</v>
      </c>
    </row>
    <row r="283" spans="2:53" ht="15.75" thickBot="1" x14ac:dyDescent="0.3">
      <c r="J283" s="76"/>
      <c r="K283" s="76"/>
    </row>
    <row r="284" spans="2:53" ht="75" x14ac:dyDescent="0.25">
      <c r="C284" s="121" t="s">
        <v>844</v>
      </c>
      <c r="D284" s="106" t="s">
        <v>845</v>
      </c>
      <c r="E284" s="26" t="s">
        <v>304</v>
      </c>
      <c r="F284" s="32">
        <f>$F$23</f>
        <v>700</v>
      </c>
      <c r="G284" s="33" t="s">
        <v>850</v>
      </c>
      <c r="J284" s="76"/>
      <c r="K284" s="76"/>
      <c r="M284" s="3">
        <v>30</v>
      </c>
      <c r="N284" s="1" t="s">
        <v>848</v>
      </c>
      <c r="S284" s="116">
        <f>(M284*M285)*(F284+F285)</f>
        <v>110664.95999999999</v>
      </c>
      <c r="U284" s="114" t="s">
        <v>176</v>
      </c>
      <c r="W284" s="108">
        <f>VLOOKUP($U284,'Regional splits'!$B$15:$R$22,W$5,FALSE)</f>
        <v>0</v>
      </c>
      <c r="X284" s="108">
        <f>VLOOKUP($U284,'Regional splits'!$B$15:$R$22,X$5,FALSE)</f>
        <v>0</v>
      </c>
      <c r="Y284" s="108">
        <f>VLOOKUP($U284,'Regional splits'!$B$15:$R$22,Y$5,FALSE)</f>
        <v>0</v>
      </c>
      <c r="Z284" s="108">
        <f>VLOOKUP($U284,'Regional splits'!$B$15:$R$22,Z$5,FALSE)</f>
        <v>0</v>
      </c>
      <c r="AA284" s="108">
        <f>VLOOKUP($U284,'Regional splits'!$B$15:$R$22,AA$5,FALSE)</f>
        <v>0</v>
      </c>
      <c r="AB284" s="108">
        <f>VLOOKUP($U284,'Regional splits'!$B$15:$R$22,AB$5,FALSE)</f>
        <v>0</v>
      </c>
      <c r="AC284" s="108">
        <f>VLOOKUP($U284,'Regional splits'!$B$15:$R$22,AC$5,FALSE)</f>
        <v>0</v>
      </c>
      <c r="AD284" s="108">
        <f>VLOOKUP($U284,'Regional splits'!$B$15:$R$22,AD$5,FALSE)</f>
        <v>0</v>
      </c>
      <c r="AE284" s="108">
        <f>VLOOKUP($U284,'Regional splits'!$B$15:$R$22,AE$5,FALSE)</f>
        <v>0</v>
      </c>
      <c r="AF284" s="108">
        <f>VLOOKUP($U284,'Regional splits'!$B$15:$R$22,AF$5,FALSE)</f>
        <v>0</v>
      </c>
      <c r="AG284" s="108">
        <f>VLOOKUP($U284,'Regional splits'!$B$15:$R$22,AG$5,FALSE)</f>
        <v>0</v>
      </c>
      <c r="AH284" s="108">
        <f>VLOOKUP($U284,'Regional splits'!$B$15:$R$22,AH$5,FALSE)</f>
        <v>0</v>
      </c>
      <c r="AI284" s="108">
        <f>VLOOKUP($U284,'Regional splits'!$B$15:$R$22,AI$5,FALSE)</f>
        <v>0</v>
      </c>
      <c r="AJ284" s="108">
        <f>VLOOKUP($U284,'Regional splits'!$B$15:$R$22,AJ$5,FALSE)</f>
        <v>0</v>
      </c>
      <c r="AK284" s="108">
        <f>VLOOKUP($U284,'Regional splits'!$B$15:$R$22,AK$5,FALSE)</f>
        <v>0</v>
      </c>
      <c r="AL284" s="108">
        <f>VLOOKUP($U284,'Regional splits'!$B$15:$R$22,AL$5,FALSE)</f>
        <v>1</v>
      </c>
      <c r="AN284" s="114" t="s">
        <v>846</v>
      </c>
      <c r="AP284">
        <f t="shared" si="37"/>
        <v>0</v>
      </c>
      <c r="AQ284">
        <f t="shared" si="37"/>
        <v>0</v>
      </c>
      <c r="AR284">
        <f t="shared" si="37"/>
        <v>1</v>
      </c>
      <c r="AS284">
        <f t="shared" si="37"/>
        <v>1</v>
      </c>
      <c r="AT284">
        <f t="shared" si="37"/>
        <v>0</v>
      </c>
      <c r="AU284">
        <f t="shared" si="37"/>
        <v>0</v>
      </c>
      <c r="AV284">
        <f t="shared" si="37"/>
        <v>0</v>
      </c>
      <c r="AW284">
        <f t="shared" si="37"/>
        <v>0</v>
      </c>
      <c r="AX284">
        <f t="shared" si="37"/>
        <v>0</v>
      </c>
      <c r="AY284">
        <f>IF(ISNUMBER(SEARCH(AY$3,$AN284)),1,0)</f>
        <v>0</v>
      </c>
      <c r="BA284" s="115">
        <f>S284*COUNTIFS(AP284:AY284,"1",$AP$4:$AY$4,"TRUE")</f>
        <v>221329.91999999998</v>
      </c>
    </row>
    <row r="285" spans="2:53" ht="15.75" thickBot="1" x14ac:dyDescent="0.3">
      <c r="C285" s="123"/>
      <c r="D285" s="106"/>
      <c r="E285" s="26" t="s">
        <v>849</v>
      </c>
      <c r="F285" s="27">
        <f>$F$40*$F$41*$G$48</f>
        <v>222.208</v>
      </c>
      <c r="G285" s="33" t="s">
        <v>851</v>
      </c>
      <c r="J285" s="76"/>
      <c r="K285" s="76"/>
      <c r="M285" s="107">
        <v>4</v>
      </c>
      <c r="N285" s="109" t="s">
        <v>847</v>
      </c>
      <c r="O285" s="8"/>
      <c r="P285" s="8"/>
      <c r="Q285" s="8"/>
      <c r="R285" s="8"/>
      <c r="S285" s="110"/>
      <c r="T285" s="13"/>
      <c r="U285" s="111"/>
      <c r="V285" s="13"/>
      <c r="W285" s="112"/>
      <c r="X285" s="112"/>
      <c r="Y285" s="112"/>
      <c r="Z285" s="112"/>
      <c r="AA285" s="112"/>
      <c r="AB285" s="112"/>
      <c r="AC285" s="112"/>
      <c r="AD285" s="112"/>
      <c r="AE285" s="112"/>
      <c r="AF285" s="112"/>
      <c r="AG285" s="112"/>
      <c r="AH285" s="112"/>
      <c r="AI285" s="112"/>
      <c r="AJ285" s="112"/>
      <c r="AK285" s="112"/>
      <c r="AL285" s="112"/>
      <c r="AM285" s="13"/>
      <c r="AN285" s="111"/>
      <c r="AO285" s="13"/>
      <c r="AP285" s="13"/>
      <c r="AQ285" s="13"/>
      <c r="AR285" s="13"/>
      <c r="AS285" s="13"/>
      <c r="AT285" s="13"/>
      <c r="AU285" s="13"/>
      <c r="AV285" s="13"/>
      <c r="AW285" s="13"/>
      <c r="AX285" s="13"/>
      <c r="AY285" s="13"/>
      <c r="AZ285" s="13"/>
      <c r="BA285" s="113"/>
    </row>
    <row r="286" spans="2:53" x14ac:dyDescent="0.25">
      <c r="F286" s="33"/>
      <c r="G286" s="33"/>
      <c r="J286" s="76"/>
      <c r="K286" s="76"/>
    </row>
    <row r="287" spans="2:53" ht="18" thickBot="1" x14ac:dyDescent="0.35">
      <c r="C287" s="11" t="s">
        <v>262</v>
      </c>
      <c r="J287" s="76"/>
      <c r="K287" s="76"/>
      <c r="P287" s="4"/>
    </row>
    <row r="288" spans="2:53" ht="16.5" thickTop="1" thickBot="1" x14ac:dyDescent="0.3">
      <c r="J288" s="76" t="s">
        <v>559</v>
      </c>
      <c r="K288" s="76" t="s">
        <v>560</v>
      </c>
      <c r="N288" t="s">
        <v>803</v>
      </c>
    </row>
    <row r="289" spans="2:52" x14ac:dyDescent="0.25">
      <c r="B289" s="23">
        <v>1</v>
      </c>
      <c r="C289" s="127" t="s">
        <v>714</v>
      </c>
      <c r="D289" s="26" t="s">
        <v>74</v>
      </c>
      <c r="F289" s="49">
        <f>0.03*5.4</f>
        <v>0.16200000000000001</v>
      </c>
      <c r="J289" s="76" t="s">
        <v>562</v>
      </c>
      <c r="K289" s="76" t="s">
        <v>561</v>
      </c>
      <c r="M289" s="3">
        <v>120</v>
      </c>
      <c r="N289" s="1" t="s">
        <v>496</v>
      </c>
      <c r="S289" s="10" t="s">
        <v>443</v>
      </c>
      <c r="T289" s="28"/>
      <c r="U289" s="10"/>
      <c r="V289" s="28"/>
      <c r="W289" s="56"/>
      <c r="X289" s="56"/>
      <c r="Y289" s="56"/>
      <c r="Z289" s="56"/>
      <c r="AA289" s="56"/>
      <c r="AB289" s="56"/>
      <c r="AC289" s="56"/>
      <c r="AD289" s="56"/>
      <c r="AE289" s="56"/>
      <c r="AF289" s="56"/>
      <c r="AG289" s="56"/>
      <c r="AH289" s="56"/>
      <c r="AI289" s="56"/>
      <c r="AJ289" s="56"/>
      <c r="AK289" s="56"/>
      <c r="AL289" s="56"/>
      <c r="AM289" s="10"/>
      <c r="AN289" s="10"/>
      <c r="AO289" s="28"/>
      <c r="AP289" s="28"/>
      <c r="AQ289" s="28"/>
      <c r="AR289" s="28"/>
      <c r="AS289" s="28"/>
      <c r="AT289" s="28"/>
      <c r="AU289" s="28"/>
      <c r="AV289" s="28"/>
      <c r="AW289" s="28"/>
      <c r="AX289" s="28"/>
      <c r="AY289" s="28"/>
      <c r="AZ289" s="28"/>
    </row>
    <row r="290" spans="2:52" x14ac:dyDescent="0.25">
      <c r="B290" s="23">
        <v>1</v>
      </c>
      <c r="C290" s="128"/>
      <c r="D290" s="26" t="s">
        <v>75</v>
      </c>
      <c r="F290" s="49">
        <f>0.5*5.4</f>
        <v>2.7</v>
      </c>
      <c r="J290" s="76"/>
      <c r="K290" s="76" t="s">
        <v>558</v>
      </c>
      <c r="M290" s="3">
        <v>120</v>
      </c>
      <c r="N290" s="1" t="s">
        <v>496</v>
      </c>
      <c r="S290" s="28" t="s">
        <v>509</v>
      </c>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row>
    <row r="291" spans="2:52" x14ac:dyDescent="0.25">
      <c r="B291" s="23">
        <v>1</v>
      </c>
      <c r="C291" s="128"/>
      <c r="D291" s="26" t="s">
        <v>76</v>
      </c>
      <c r="F291" s="49">
        <f>0.29*5.4</f>
        <v>1.5660000000000001</v>
      </c>
      <c r="J291" s="76" t="s">
        <v>553</v>
      </c>
      <c r="K291" s="76" t="s">
        <v>554</v>
      </c>
      <c r="M291" s="3">
        <v>13</v>
      </c>
      <c r="N291" s="1" t="s">
        <v>496</v>
      </c>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row>
    <row r="292" spans="2:52" x14ac:dyDescent="0.25">
      <c r="B292" s="23">
        <v>1</v>
      </c>
      <c r="C292" s="128"/>
      <c r="D292" s="26" t="s">
        <v>77</v>
      </c>
      <c r="F292" s="49">
        <f>0.29*5.4</f>
        <v>1.5660000000000001</v>
      </c>
      <c r="J292" s="76" t="s">
        <v>553</v>
      </c>
      <c r="K292" s="76" t="s">
        <v>555</v>
      </c>
      <c r="M292" s="3">
        <v>13</v>
      </c>
      <c r="N292" s="1" t="s">
        <v>496</v>
      </c>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row>
    <row r="293" spans="2:52" x14ac:dyDescent="0.25">
      <c r="B293" s="23">
        <v>1</v>
      </c>
      <c r="C293" s="128"/>
      <c r="D293" s="26" t="s">
        <v>78</v>
      </c>
      <c r="F293" s="49">
        <f>0.85*5.4</f>
        <v>4.59</v>
      </c>
      <c r="J293" s="76" t="s">
        <v>556</v>
      </c>
      <c r="K293" s="76" t="s">
        <v>557</v>
      </c>
      <c r="M293" s="3">
        <v>4</v>
      </c>
      <c r="N293" s="1" t="s">
        <v>496</v>
      </c>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row>
    <row r="294" spans="2:52" x14ac:dyDescent="0.25">
      <c r="B294" s="23">
        <v>1</v>
      </c>
      <c r="C294" s="128"/>
      <c r="D294" s="26" t="s">
        <v>79</v>
      </c>
      <c r="F294" s="49">
        <f>8.5*5.4</f>
        <v>45.900000000000006</v>
      </c>
      <c r="J294" s="76" t="s">
        <v>550</v>
      </c>
      <c r="K294" s="76" t="s">
        <v>552</v>
      </c>
      <c r="M294" s="3">
        <v>3.8</v>
      </c>
      <c r="N294" s="68" t="s">
        <v>500</v>
      </c>
      <c r="O294" s="45">
        <v>0.95</v>
      </c>
      <c r="P294" s="1" t="s">
        <v>499</v>
      </c>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row>
    <row r="295" spans="2:52" x14ac:dyDescent="0.25">
      <c r="B295" s="23">
        <v>1</v>
      </c>
      <c r="C295" s="128"/>
      <c r="D295" s="26" t="s">
        <v>80</v>
      </c>
      <c r="F295" s="49">
        <f>8*5.4</f>
        <v>43.2</v>
      </c>
      <c r="J295" s="76" t="s">
        <v>549</v>
      </c>
      <c r="K295" s="76"/>
      <c r="M295" s="3">
        <v>3.2</v>
      </c>
      <c r="N295" s="68" t="s">
        <v>500</v>
      </c>
      <c r="O295" s="45">
        <v>0.05</v>
      </c>
      <c r="P295" s="1" t="s">
        <v>499</v>
      </c>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row>
    <row r="296" spans="2:52" x14ac:dyDescent="0.25">
      <c r="B296" s="23">
        <v>1</v>
      </c>
      <c r="C296" s="128"/>
      <c r="D296" s="26" t="s">
        <v>81</v>
      </c>
      <c r="F296" s="49">
        <f>8.5*5.4</f>
        <v>45.900000000000006</v>
      </c>
      <c r="J296" s="76" t="s">
        <v>551</v>
      </c>
      <c r="K296" s="76" t="s">
        <v>552</v>
      </c>
      <c r="M296" s="3">
        <v>2.5</v>
      </c>
      <c r="N296" s="68" t="s">
        <v>500</v>
      </c>
      <c r="O296" s="45">
        <v>0</v>
      </c>
      <c r="P296" s="1" t="s">
        <v>499</v>
      </c>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row>
    <row r="297" spans="2:52" x14ac:dyDescent="0.25">
      <c r="B297" s="23">
        <v>1</v>
      </c>
      <c r="C297" s="128"/>
      <c r="D297" s="26" t="s">
        <v>83</v>
      </c>
      <c r="F297" s="75">
        <f>SUMPRODUCT(F304:F319,M304:M319)</f>
        <v>9.5950000000000006</v>
      </c>
      <c r="G297" s="33" t="s">
        <v>111</v>
      </c>
      <c r="J297" s="76"/>
      <c r="K297" s="76"/>
      <c r="N297" s="14"/>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row>
    <row r="298" spans="2:52" x14ac:dyDescent="0.25">
      <c r="B298" s="23">
        <v>1</v>
      </c>
      <c r="C298" s="128"/>
      <c r="D298" s="26" t="s">
        <v>82</v>
      </c>
      <c r="F298" s="49">
        <f>0.35*5.4</f>
        <v>1.89</v>
      </c>
      <c r="G298" s="33"/>
      <c r="J298" s="76"/>
      <c r="K298" s="76" t="s">
        <v>563</v>
      </c>
      <c r="M298" s="3">
        <v>4.5999999999999996</v>
      </c>
      <c r="N298" s="68" t="s">
        <v>500</v>
      </c>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row>
    <row r="299" spans="2:52" x14ac:dyDescent="0.25">
      <c r="B299" s="23">
        <v>1</v>
      </c>
      <c r="C299" s="128"/>
      <c r="D299" s="26" t="s">
        <v>84</v>
      </c>
      <c r="F299" s="75">
        <f>SUMPRODUCT(F304:F319,N304:N319)</f>
        <v>2.4400000000000004</v>
      </c>
      <c r="G299" s="33" t="s">
        <v>111</v>
      </c>
      <c r="J299" s="76"/>
      <c r="K299" s="76"/>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row>
    <row r="300" spans="2:52" x14ac:dyDescent="0.25">
      <c r="B300" s="23">
        <v>1</v>
      </c>
      <c r="C300" s="128"/>
      <c r="D300" s="26" t="s">
        <v>85</v>
      </c>
      <c r="F300" s="75">
        <f>SUMPRODUCT(F304:F319,O304:O319)</f>
        <v>54.215000000000003</v>
      </c>
      <c r="G300" s="36" t="s">
        <v>111</v>
      </c>
      <c r="J300" s="76"/>
      <c r="K300" s="76"/>
      <c r="M300" s="3">
        <f>49-9.3</f>
        <v>39.700000000000003</v>
      </c>
      <c r="N300" s="68" t="s">
        <v>501</v>
      </c>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row>
    <row r="301" spans="2:52" ht="15.75" thickBot="1" x14ac:dyDescent="0.3">
      <c r="B301" s="23">
        <v>1</v>
      </c>
      <c r="C301" s="129"/>
      <c r="D301" s="26" t="s">
        <v>86</v>
      </c>
      <c r="F301" s="75">
        <f>SUMPRODUCT(F304:F319,P304:P319)</f>
        <v>15.227500000000001</v>
      </c>
      <c r="G301" s="36" t="s">
        <v>111</v>
      </c>
      <c r="J301" s="76"/>
      <c r="K301" s="76"/>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row>
    <row r="302" spans="2:52" ht="15.75" thickBot="1" x14ac:dyDescent="0.3">
      <c r="J302" s="76"/>
      <c r="K302" s="76"/>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row>
    <row r="303" spans="2:52" x14ac:dyDescent="0.25">
      <c r="C303" s="127" t="s">
        <v>112</v>
      </c>
      <c r="D303" s="35"/>
      <c r="F303" s="38" t="s">
        <v>497</v>
      </c>
      <c r="J303" s="76"/>
      <c r="K303" s="76"/>
      <c r="M303" s="1" t="s">
        <v>329</v>
      </c>
      <c r="N303" s="1" t="s">
        <v>330</v>
      </c>
      <c r="O303" s="1" t="s">
        <v>331</v>
      </c>
      <c r="P303" s="1" t="s">
        <v>332</v>
      </c>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row>
    <row r="304" spans="2:52" x14ac:dyDescent="0.25">
      <c r="C304" s="128"/>
      <c r="D304" s="35" t="s">
        <v>431</v>
      </c>
      <c r="F304" s="49">
        <v>0.5</v>
      </c>
      <c r="G304" s="40" t="s">
        <v>15</v>
      </c>
      <c r="J304" s="76"/>
      <c r="K304" s="76"/>
      <c r="M304" s="3">
        <v>2</v>
      </c>
      <c r="N304" s="3">
        <v>2</v>
      </c>
      <c r="O304" s="3">
        <v>4</v>
      </c>
      <c r="P304" s="3">
        <v>2</v>
      </c>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row>
    <row r="305" spans="3:52" x14ac:dyDescent="0.25">
      <c r="C305" s="128"/>
      <c r="D305" s="35" t="s">
        <v>432</v>
      </c>
      <c r="F305" s="49">
        <v>14</v>
      </c>
      <c r="J305" s="76"/>
      <c r="K305" s="76"/>
      <c r="M305" s="3">
        <v>0.01</v>
      </c>
      <c r="N305" s="3">
        <v>0.01</v>
      </c>
      <c r="O305" s="3">
        <v>0.01</v>
      </c>
      <c r="P305" s="3">
        <v>0.01</v>
      </c>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row>
    <row r="306" spans="3:52" x14ac:dyDescent="0.25">
      <c r="C306" s="128"/>
      <c r="D306" s="35" t="s">
        <v>433</v>
      </c>
      <c r="F306" s="49">
        <v>1.3</v>
      </c>
      <c r="G306" s="67"/>
      <c r="J306" s="76"/>
      <c r="K306" s="76"/>
      <c r="M306" s="3">
        <v>1</v>
      </c>
      <c r="N306" s="3">
        <v>1</v>
      </c>
      <c r="O306" s="3">
        <v>2</v>
      </c>
      <c r="P306" s="3">
        <v>1</v>
      </c>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row>
    <row r="307" spans="3:52" x14ac:dyDescent="0.25">
      <c r="C307" s="128"/>
      <c r="D307" s="35" t="s">
        <v>434</v>
      </c>
      <c r="F307" s="49">
        <v>2.35</v>
      </c>
      <c r="G307" s="67"/>
      <c r="J307" s="76"/>
      <c r="K307" s="76"/>
      <c r="M307" s="3">
        <v>1</v>
      </c>
      <c r="N307" s="3">
        <v>0</v>
      </c>
      <c r="O307" s="3">
        <v>0</v>
      </c>
      <c r="P307" s="3">
        <v>0</v>
      </c>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row>
    <row r="308" spans="3:52" x14ac:dyDescent="0.25">
      <c r="C308" s="128"/>
      <c r="D308" s="35" t="s">
        <v>435</v>
      </c>
      <c r="F308" s="49">
        <v>4</v>
      </c>
      <c r="G308" s="67"/>
      <c r="J308" s="76"/>
      <c r="K308" s="76"/>
      <c r="M308" s="3">
        <v>0.2</v>
      </c>
      <c r="N308" s="3">
        <v>0</v>
      </c>
      <c r="O308" s="3">
        <v>0</v>
      </c>
      <c r="P308" s="3">
        <v>0.5</v>
      </c>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row>
    <row r="309" spans="3:52" x14ac:dyDescent="0.25">
      <c r="C309" s="128"/>
      <c r="D309" s="35" t="s">
        <v>436</v>
      </c>
      <c r="F309" s="49">
        <v>2.7</v>
      </c>
      <c r="G309" s="67"/>
      <c r="J309" s="76"/>
      <c r="K309" s="76"/>
      <c r="M309" s="3">
        <v>1</v>
      </c>
      <c r="N309" s="3">
        <v>0</v>
      </c>
      <c r="O309" s="3">
        <v>4</v>
      </c>
      <c r="P309" s="3">
        <v>1</v>
      </c>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row>
    <row r="310" spans="3:52" x14ac:dyDescent="0.25">
      <c r="C310" s="128"/>
      <c r="D310" s="35" t="s">
        <v>437</v>
      </c>
      <c r="F310" s="49">
        <v>0</v>
      </c>
      <c r="G310" s="82" t="s">
        <v>498</v>
      </c>
      <c r="J310" s="76"/>
      <c r="K310" s="76"/>
      <c r="M310" s="3">
        <v>1</v>
      </c>
      <c r="N310" s="3">
        <v>0</v>
      </c>
      <c r="O310" s="3">
        <v>4</v>
      </c>
      <c r="P310" s="3">
        <v>1</v>
      </c>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row>
    <row r="311" spans="3:52" x14ac:dyDescent="0.25">
      <c r="C311" s="128"/>
      <c r="D311" s="35" t="s">
        <v>438</v>
      </c>
      <c r="F311" s="49">
        <v>0.35</v>
      </c>
      <c r="G311" s="67"/>
      <c r="J311" s="76"/>
      <c r="K311" s="76"/>
      <c r="M311" s="3">
        <v>1</v>
      </c>
      <c r="N311" s="3">
        <v>0</v>
      </c>
      <c r="O311" s="3">
        <v>0</v>
      </c>
      <c r="P311" s="3">
        <v>0</v>
      </c>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row>
    <row r="312" spans="3:52" x14ac:dyDescent="0.25">
      <c r="C312" s="128"/>
      <c r="D312" s="35" t="s">
        <v>439</v>
      </c>
      <c r="F312" s="49">
        <v>1.75</v>
      </c>
      <c r="G312" s="67"/>
      <c r="J312" s="76"/>
      <c r="K312" s="76"/>
      <c r="M312" s="3">
        <v>0.1</v>
      </c>
      <c r="N312" s="3">
        <v>0</v>
      </c>
      <c r="O312" s="3">
        <v>0.1</v>
      </c>
      <c r="P312" s="3">
        <v>0.05</v>
      </c>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row>
    <row r="313" spans="3:52" x14ac:dyDescent="0.25">
      <c r="C313" s="128"/>
      <c r="D313" s="35" t="s">
        <v>440</v>
      </c>
      <c r="F313" s="49">
        <v>0.5</v>
      </c>
      <c r="G313" s="67"/>
      <c r="J313" s="76"/>
      <c r="K313" s="76"/>
      <c r="M313" s="3">
        <v>0.2</v>
      </c>
      <c r="N313" s="3">
        <v>0</v>
      </c>
      <c r="O313" s="3">
        <v>1</v>
      </c>
      <c r="P313" s="3">
        <v>6</v>
      </c>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row>
    <row r="314" spans="3:52" x14ac:dyDescent="0.25">
      <c r="C314" s="128"/>
      <c r="D314" s="35" t="s">
        <v>441</v>
      </c>
      <c r="F314" s="49">
        <v>0.03</v>
      </c>
      <c r="G314" s="67"/>
      <c r="J314" s="76"/>
      <c r="K314" s="76"/>
      <c r="M314" s="3">
        <v>6</v>
      </c>
      <c r="N314" s="3">
        <v>0</v>
      </c>
      <c r="O314" s="3">
        <v>0</v>
      </c>
      <c r="P314" s="3">
        <v>0</v>
      </c>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row>
    <row r="315" spans="3:52" x14ac:dyDescent="0.25">
      <c r="C315" s="128"/>
      <c r="D315" s="35" t="s">
        <v>442</v>
      </c>
      <c r="F315" s="49">
        <v>0.5</v>
      </c>
      <c r="G315" s="67"/>
      <c r="J315" s="76"/>
      <c r="K315" s="76"/>
      <c r="M315" s="3">
        <v>1</v>
      </c>
      <c r="N315" s="3">
        <v>0</v>
      </c>
      <c r="O315" s="3">
        <v>2</v>
      </c>
      <c r="P315" s="3">
        <v>0</v>
      </c>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row>
    <row r="316" spans="3:52" x14ac:dyDescent="0.25">
      <c r="C316" s="128"/>
      <c r="D316" s="35" t="s">
        <v>602</v>
      </c>
      <c r="F316" s="49">
        <v>5</v>
      </c>
      <c r="G316" s="67"/>
      <c r="J316" s="76"/>
      <c r="K316" s="76"/>
      <c r="M316" s="3">
        <v>0</v>
      </c>
      <c r="N316" s="3">
        <v>0</v>
      </c>
      <c r="O316" s="3">
        <v>2</v>
      </c>
      <c r="P316" s="3">
        <v>1</v>
      </c>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row>
    <row r="317" spans="3:52" x14ac:dyDescent="0.25">
      <c r="C317" s="128"/>
      <c r="D317" s="35" t="s">
        <v>603</v>
      </c>
      <c r="F317" s="49">
        <v>5</v>
      </c>
      <c r="G317" s="67"/>
      <c r="J317" s="76"/>
      <c r="K317" s="76"/>
      <c r="M317" s="3">
        <v>0</v>
      </c>
      <c r="N317" s="3">
        <v>0</v>
      </c>
      <c r="O317" s="3">
        <v>2</v>
      </c>
      <c r="P317" s="3">
        <v>0</v>
      </c>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row>
    <row r="318" spans="3:52" x14ac:dyDescent="0.25">
      <c r="C318" s="128"/>
      <c r="D318" s="35" t="s">
        <v>604</v>
      </c>
      <c r="F318" s="49">
        <v>5</v>
      </c>
      <c r="G318" s="67"/>
      <c r="J318" s="76"/>
      <c r="K318" s="76"/>
      <c r="M318" s="3">
        <v>0</v>
      </c>
      <c r="N318" s="3">
        <v>0</v>
      </c>
      <c r="O318" s="3">
        <v>1</v>
      </c>
      <c r="P318" s="3">
        <v>0</v>
      </c>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row>
    <row r="319" spans="3:52" ht="15.75" thickBot="1" x14ac:dyDescent="0.3">
      <c r="C319" s="129"/>
      <c r="D319" s="35" t="s">
        <v>605</v>
      </c>
      <c r="F319" s="49">
        <v>12</v>
      </c>
      <c r="G319" s="67"/>
      <c r="J319" s="76"/>
      <c r="K319" s="76"/>
      <c r="M319" s="3">
        <v>0</v>
      </c>
      <c r="N319" s="3">
        <v>0</v>
      </c>
      <c r="O319" s="3">
        <v>1</v>
      </c>
      <c r="P319" s="3">
        <v>0</v>
      </c>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row>
    <row r="320" spans="3:52" ht="15.75" thickBot="1" x14ac:dyDescent="0.3">
      <c r="J320" s="76"/>
      <c r="K320" s="76"/>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row>
    <row r="321" spans="2:53" ht="30.75" thickBot="1" x14ac:dyDescent="0.3">
      <c r="C321" s="25" t="s">
        <v>612</v>
      </c>
      <c r="D321" s="26" t="s">
        <v>310</v>
      </c>
      <c r="F321" s="46">
        <v>1E-3</v>
      </c>
      <c r="J321" s="76"/>
      <c r="K321" s="76"/>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row>
    <row r="322" spans="2:53" ht="15.75" thickBot="1" x14ac:dyDescent="0.3">
      <c r="J322" s="76"/>
      <c r="K322" s="76"/>
    </row>
    <row r="323" spans="2:53" x14ac:dyDescent="0.25">
      <c r="B323" s="23">
        <v>1</v>
      </c>
      <c r="C323" s="121" t="s">
        <v>610</v>
      </c>
      <c r="D323" s="26" t="s">
        <v>311</v>
      </c>
      <c r="E323" s="26" t="s">
        <v>238</v>
      </c>
      <c r="F323" s="39" t="s">
        <v>227</v>
      </c>
      <c r="J323" s="76"/>
      <c r="K323" s="76"/>
      <c r="M323" s="3">
        <v>30</v>
      </c>
      <c r="N323" s="1" t="s">
        <v>225</v>
      </c>
      <c r="O323" s="3">
        <v>1</v>
      </c>
      <c r="P323" s="1" t="s">
        <v>229</v>
      </c>
      <c r="S323" s="27">
        <f>(HLOOKUP(M324,$AR$19:$AU$31,$AO$20,FALSE)+ROUNDUP(M325,0)*(HLOOKUP(M324,$AR$19:$AU$31,$AO$22,FALSE)+HLOOKUP(M324,$AR$19:$AU$31,$AO$24,FALSE)+M323*HLOOKUP(M324,$AR$19:$AU$31,$AO$23,FALSE)+(M323+HLOOKUP(M324,$AR$19:$AU$31,$AO$27,FALSE))*HLOOKUP(M324,$AR$19:$AU$31,$AO$25,FALSE))+(M323+HLOOKUP(M324,$AR$19:$AU$31,$AO$28,FALSE))*IF(M325&gt;0.5,HLOOKUP(M324,$AR$19:$AU$31,$AO$30,FALSE),HLOOKUP(M324,$AR$19:$AU$31,$AO$31,FALSE)))*O323+(HLOOKUP(M327,$AR$19:$AU$31,$AO$20,FALSE)+ROUNDUP(M328,0)*(HLOOKUP(M327,$AR$19:$AU$31,$AO$22,FALSE)+HLOOKUP(M327,$AR$19:$AU$31,$AO$24,FALSE)+M326*HLOOKUP(M327,$AR$19:$AU$31,$AO$23,FALSE)+(M326+HLOOKUP(M327,$AR$19:$AU$31,$AO$27,FALSE))*HLOOKUP(M327,$AR$19:$AU$31,$AO$25,FALSE))+(M326+HLOOKUP(M327,$AR$19:$AU$31,$AO$28,FALSE))*IF(M328&gt;0.5,HLOOKUP(M327,$AR$19:$AU$31,$AO$30,FALSE),HLOOKUP(M327,$AR$19:$AU$31,$AO$31,FALSE)))*O326</f>
        <v>131841.17600000001</v>
      </c>
      <c r="U323" s="3" t="s">
        <v>176</v>
      </c>
      <c r="W323" s="45">
        <f>VLOOKUP($U323,'Regional splits'!$B$15:$R$22,W$5,FALSE)</f>
        <v>0</v>
      </c>
      <c r="X323" s="45">
        <f>VLOOKUP($U323,'Regional splits'!$B$15:$R$22,X$5,FALSE)</f>
        <v>0</v>
      </c>
      <c r="Y323" s="45">
        <f>VLOOKUP($U323,'Regional splits'!$B$15:$R$22,Y$5,FALSE)</f>
        <v>0</v>
      </c>
      <c r="Z323" s="45">
        <f>VLOOKUP($U323,'Regional splits'!$B$15:$R$22,Z$5,FALSE)</f>
        <v>0</v>
      </c>
      <c r="AA323" s="45">
        <f>VLOOKUP($U323,'Regional splits'!$B$15:$R$22,AA$5,FALSE)</f>
        <v>0</v>
      </c>
      <c r="AB323" s="45">
        <f>VLOOKUP($U323,'Regional splits'!$B$15:$R$22,AB$5,FALSE)</f>
        <v>0</v>
      </c>
      <c r="AC323" s="45">
        <f>VLOOKUP($U323,'Regional splits'!$B$15:$R$22,AC$5,FALSE)</f>
        <v>0</v>
      </c>
      <c r="AD323" s="45">
        <f>VLOOKUP($U323,'Regional splits'!$B$15:$R$22,AD$5,FALSE)</f>
        <v>0</v>
      </c>
      <c r="AE323" s="45">
        <f>VLOOKUP($U323,'Regional splits'!$B$15:$R$22,AE$5,FALSE)</f>
        <v>0</v>
      </c>
      <c r="AF323" s="45">
        <f>VLOOKUP($U323,'Regional splits'!$B$15:$R$22,AF$5,FALSE)</f>
        <v>0</v>
      </c>
      <c r="AG323" s="45">
        <f>VLOOKUP($U323,'Regional splits'!$B$15:$R$22,AG$5,FALSE)</f>
        <v>0</v>
      </c>
      <c r="AH323" s="45">
        <f>VLOOKUP($U323,'Regional splits'!$B$15:$R$22,AH$5,FALSE)</f>
        <v>0</v>
      </c>
      <c r="AI323" s="45">
        <f>VLOOKUP($U323,'Regional splits'!$B$15:$R$22,AI$5,FALSE)</f>
        <v>0</v>
      </c>
      <c r="AJ323" s="45">
        <f>VLOOKUP($U323,'Regional splits'!$B$15:$R$22,AJ$5,FALSE)</f>
        <v>0</v>
      </c>
      <c r="AK323" s="45">
        <f>VLOOKUP($U323,'Regional splits'!$B$15:$R$22,AK$5,FALSE)</f>
        <v>0</v>
      </c>
      <c r="AL323" s="45">
        <f>VLOOKUP($U323,'Regional splits'!$B$15:$R$22,AL$5,FALSE)</f>
        <v>1</v>
      </c>
      <c r="AN323" s="3" t="s">
        <v>222</v>
      </c>
      <c r="AP323">
        <f t="shared" ref="AP323:AX323" si="39">IF(ISNUMBER(SEARCH(AP$3,$AN323)),1,0)</f>
        <v>1</v>
      </c>
      <c r="AQ323">
        <f t="shared" si="39"/>
        <v>1</v>
      </c>
      <c r="AR323">
        <f t="shared" si="39"/>
        <v>1</v>
      </c>
      <c r="AS323">
        <f t="shared" si="39"/>
        <v>1</v>
      </c>
      <c r="AT323">
        <f t="shared" si="39"/>
        <v>1</v>
      </c>
      <c r="AU323">
        <f t="shared" si="39"/>
        <v>1</v>
      </c>
      <c r="AV323">
        <f t="shared" si="39"/>
        <v>1</v>
      </c>
      <c r="AW323">
        <f t="shared" si="39"/>
        <v>1</v>
      </c>
      <c r="AX323">
        <f t="shared" si="39"/>
        <v>0</v>
      </c>
      <c r="AY323">
        <f>IF(ISNUMBER(SEARCH(AY$3,$AN323)),1,0)</f>
        <v>0</v>
      </c>
      <c r="BA323" s="31">
        <f>S323*COUNTIFS(AP323:AY323,"1",$AP$4:$AY$4,"TRUE")</f>
        <v>1054729.4080000001</v>
      </c>
    </row>
    <row r="324" spans="2:53" x14ac:dyDescent="0.25">
      <c r="C324" s="122"/>
      <c r="J324" s="76"/>
      <c r="K324" s="76"/>
      <c r="M324" s="3" t="s">
        <v>50</v>
      </c>
      <c r="N324" s="1" t="s">
        <v>226</v>
      </c>
    </row>
    <row r="325" spans="2:53" x14ac:dyDescent="0.25">
      <c r="C325" s="122"/>
      <c r="J325" s="76"/>
      <c r="K325" s="76"/>
      <c r="M325" s="3">
        <v>2</v>
      </c>
      <c r="N325" s="1" t="s">
        <v>252</v>
      </c>
    </row>
    <row r="326" spans="2:53" x14ac:dyDescent="0.25">
      <c r="C326" s="122"/>
      <c r="D326" s="26" t="s">
        <v>312</v>
      </c>
      <c r="E326" s="26" t="s">
        <v>238</v>
      </c>
      <c r="F326" s="39" t="s">
        <v>227</v>
      </c>
      <c r="J326" s="76"/>
      <c r="K326" s="76"/>
      <c r="M326" s="5">
        <f>M323</f>
        <v>30</v>
      </c>
      <c r="N326" s="1" t="s">
        <v>225</v>
      </c>
      <c r="O326" s="3">
        <v>3</v>
      </c>
      <c r="P326" s="1" t="s">
        <v>229</v>
      </c>
    </row>
    <row r="327" spans="2:53" x14ac:dyDescent="0.25">
      <c r="C327" s="122"/>
      <c r="J327" s="76"/>
      <c r="K327" s="76"/>
      <c r="M327" s="5" t="str">
        <f>M324</f>
        <v>Level 2 meeting</v>
      </c>
      <c r="N327" s="1" t="s">
        <v>226</v>
      </c>
    </row>
    <row r="328" spans="2:53" ht="15.75" thickBot="1" x14ac:dyDescent="0.3">
      <c r="C328" s="123"/>
      <c r="J328" s="76"/>
      <c r="K328" s="76"/>
      <c r="M328" s="3">
        <v>0.5</v>
      </c>
      <c r="N328" s="1" t="s">
        <v>252</v>
      </c>
    </row>
    <row r="329" spans="2:53" ht="15.75" thickBot="1" x14ac:dyDescent="0.3">
      <c r="J329" s="76"/>
      <c r="K329" s="76"/>
    </row>
    <row r="330" spans="2:53" x14ac:dyDescent="0.25">
      <c r="C330" s="121" t="s">
        <v>611</v>
      </c>
      <c r="D330" s="26" t="s">
        <v>240</v>
      </c>
      <c r="E330" s="26" t="s">
        <v>241</v>
      </c>
      <c r="F330" s="39" t="s">
        <v>227</v>
      </c>
      <c r="J330" s="76"/>
      <c r="K330" s="76"/>
      <c r="M330" s="3">
        <v>20</v>
      </c>
      <c r="N330" s="1" t="s">
        <v>225</v>
      </c>
      <c r="O330" s="3">
        <v>1</v>
      </c>
      <c r="P330" s="1" t="s">
        <v>229</v>
      </c>
      <c r="S330" s="27">
        <f>(HLOOKUP(M331,$AR$19:$AU$31,$AO$20,FALSE)+ROUNDUP(M332,0)*(HLOOKUP(M331,$AR$19:$AU$31,$AO$22,FALSE)+HLOOKUP(M331,$AR$19:$AU$31,$AO$24,FALSE)+M330*HLOOKUP(M331,$AR$19:$AU$31,$AO$23,FALSE)+(M330+HLOOKUP(M331,$AR$19:$AU$31,$AO$27,FALSE))*HLOOKUP(M331,$AR$19:$AU$31,$AO$25,FALSE))+(M330+HLOOKUP(M331,$AR$19:$AU$31,$AO$28,FALSE))*IF(M332&gt;0.5,HLOOKUP(M331,$AR$19:$AU$31,$AO$30,FALSE),HLOOKUP(M331,$AR$19:$AU$31,$AO$31,FALSE)))*O330+(HLOOKUP(M334,$AR$19:$AU$31,$AO$20,FALSE)+ROUNDUP(M335,0)*(HLOOKUP(M334,$AR$19:$AU$31,$AO$22,FALSE)+HLOOKUP(M334,$AR$19:$AU$31,$AO$24,FALSE)+M333*HLOOKUP(M334,$AR$19:$AU$31,$AO$23,FALSE)+(M333+HLOOKUP(M334,$AR$19:$AU$31,$AO$27,FALSE))*HLOOKUP(M334,$AR$19:$AU$31,$AO$25,FALSE))+(M333+HLOOKUP(M334,$AR$19:$AU$31,$AO$28,FALSE))*IF(M335&gt;0.5,HLOOKUP(M334,$AR$19:$AU$31,$AO$30,FALSE),HLOOKUP(M334,$AR$19:$AU$31,$AO$31,FALSE)))*O333</f>
        <v>1004513.0432</v>
      </c>
      <c r="U330" s="3" t="s">
        <v>22</v>
      </c>
      <c r="W330" s="45">
        <f>VLOOKUP($U330,'Regional splits'!$B$15:$R$22,W$5,FALSE)</f>
        <v>8.3333333333333329E-2</v>
      </c>
      <c r="X330" s="45">
        <f>VLOOKUP($U330,'Regional splits'!$B$15:$R$22,X$5,FALSE)</f>
        <v>0.1388888888888889</v>
      </c>
      <c r="Y330" s="45">
        <f>VLOOKUP($U330,'Regional splits'!$B$15:$R$22,Y$5,FALSE)</f>
        <v>9.7222222222222224E-2</v>
      </c>
      <c r="Z330" s="45">
        <f>VLOOKUP($U330,'Regional splits'!$B$15:$R$22,Z$5,FALSE)</f>
        <v>9.7222222222222224E-2</v>
      </c>
      <c r="AA330" s="45">
        <f>VLOOKUP($U330,'Regional splits'!$B$15:$R$22,AA$5,FALSE)</f>
        <v>5.5555555555555552E-2</v>
      </c>
      <c r="AB330" s="45">
        <f>VLOOKUP($U330,'Regional splits'!$B$15:$R$22,AB$5,FALSE)</f>
        <v>6.9444444444444448E-2</v>
      </c>
      <c r="AC330" s="45">
        <f>VLOOKUP($U330,'Regional splits'!$B$15:$R$22,AC$5,FALSE)</f>
        <v>0.1111111111111111</v>
      </c>
      <c r="AD330" s="45">
        <f>VLOOKUP($U330,'Regional splits'!$B$15:$R$22,AD$5,FALSE)</f>
        <v>9.7222222222222224E-2</v>
      </c>
      <c r="AE330" s="45">
        <f>VLOOKUP($U330,'Regional splits'!$B$15:$R$22,AE$5,FALSE)</f>
        <v>0.15277777777777779</v>
      </c>
      <c r="AF330" s="45">
        <f>VLOOKUP($U330,'Regional splits'!$B$15:$R$22,AF$5,FALSE)</f>
        <v>9.7222222222222224E-2</v>
      </c>
      <c r="AG330" s="45">
        <f>VLOOKUP($U330,'Regional splits'!$B$15:$R$22,AG$5,FALSE)</f>
        <v>0</v>
      </c>
      <c r="AH330" s="45">
        <f>VLOOKUP($U330,'Regional splits'!$B$15:$R$22,AH$5,FALSE)</f>
        <v>0</v>
      </c>
      <c r="AI330" s="45">
        <f>VLOOKUP($U330,'Regional splits'!$B$15:$R$22,AI$5,FALSE)</f>
        <v>0</v>
      </c>
      <c r="AJ330" s="45">
        <f>VLOOKUP($U330,'Regional splits'!$B$15:$R$22,AJ$5,FALSE)</f>
        <v>0</v>
      </c>
      <c r="AK330" s="45">
        <f>VLOOKUP($U330,'Regional splits'!$B$15:$R$22,AK$5,FALSE)</f>
        <v>0</v>
      </c>
      <c r="AL330" s="45">
        <f>VLOOKUP($U330,'Regional splits'!$B$15:$R$22,AL$5,FALSE)</f>
        <v>0</v>
      </c>
      <c r="AN330" s="3" t="s">
        <v>222</v>
      </c>
      <c r="AP330">
        <f t="shared" ref="AP330:AX330" si="40">IF(ISNUMBER(SEARCH(AP$3,$AN330)),1,0)</f>
        <v>1</v>
      </c>
      <c r="AQ330">
        <f t="shared" si="40"/>
        <v>1</v>
      </c>
      <c r="AR330">
        <f t="shared" si="40"/>
        <v>1</v>
      </c>
      <c r="AS330">
        <f t="shared" si="40"/>
        <v>1</v>
      </c>
      <c r="AT330">
        <f t="shared" si="40"/>
        <v>1</v>
      </c>
      <c r="AU330">
        <f t="shared" si="40"/>
        <v>1</v>
      </c>
      <c r="AV330">
        <f t="shared" si="40"/>
        <v>1</v>
      </c>
      <c r="AW330">
        <f t="shared" si="40"/>
        <v>1</v>
      </c>
      <c r="AX330">
        <f t="shared" si="40"/>
        <v>0</v>
      </c>
      <c r="AY330">
        <f>IF(ISNUMBER(SEARCH(AY$3,$AN330)),1,0)</f>
        <v>0</v>
      </c>
      <c r="BA330" s="31">
        <f>S330*COUNTIFS(AP330:AY330,"1",$AP$4:$AY$4,"TRUE")</f>
        <v>8036104.3455999997</v>
      </c>
    </row>
    <row r="331" spans="2:53" x14ac:dyDescent="0.25">
      <c r="C331" s="122"/>
      <c r="J331" s="76"/>
      <c r="K331" s="76"/>
      <c r="M331" s="3" t="s">
        <v>51</v>
      </c>
      <c r="N331" s="1" t="s">
        <v>226</v>
      </c>
    </row>
    <row r="332" spans="2:53" x14ac:dyDescent="0.25">
      <c r="C332" s="122"/>
      <c r="J332" s="76"/>
      <c r="K332" s="76"/>
      <c r="M332" s="3">
        <v>10</v>
      </c>
      <c r="N332" s="1" t="s">
        <v>252</v>
      </c>
    </row>
    <row r="333" spans="2:53" x14ac:dyDescent="0.25">
      <c r="B333" s="23">
        <v>1</v>
      </c>
      <c r="C333" s="122"/>
      <c r="D333" s="26" t="s">
        <v>391</v>
      </c>
      <c r="E333" s="26" t="s">
        <v>241</v>
      </c>
      <c r="F333" s="39" t="s">
        <v>227</v>
      </c>
      <c r="J333" s="76"/>
      <c r="K333" s="76"/>
      <c r="M333" s="3">
        <v>20</v>
      </c>
      <c r="N333" s="1" t="s">
        <v>225</v>
      </c>
      <c r="O333" s="3">
        <f>'Regional splits'!R6/4</f>
        <v>18</v>
      </c>
      <c r="P333" s="1" t="s">
        <v>229</v>
      </c>
    </row>
    <row r="334" spans="2:53" x14ac:dyDescent="0.25">
      <c r="C334" s="122"/>
      <c r="J334" s="76"/>
      <c r="K334" s="76"/>
      <c r="M334" s="3" t="s">
        <v>52</v>
      </c>
      <c r="N334" s="1" t="s">
        <v>226</v>
      </c>
    </row>
    <row r="335" spans="2:53" ht="15.75" thickBot="1" x14ac:dyDescent="0.3">
      <c r="C335" s="123"/>
      <c r="J335" s="76"/>
      <c r="K335" s="76"/>
      <c r="M335" s="3">
        <v>5</v>
      </c>
      <c r="N335" s="1" t="s">
        <v>252</v>
      </c>
    </row>
    <row r="336" spans="2:53" ht="15.75" thickBot="1" x14ac:dyDescent="0.3">
      <c r="D336" s="44"/>
      <c r="J336" s="76"/>
      <c r="K336" s="76"/>
    </row>
    <row r="337" spans="2:53" x14ac:dyDescent="0.25">
      <c r="B337" s="23">
        <v>1</v>
      </c>
      <c r="C337" s="121" t="s">
        <v>619</v>
      </c>
      <c r="D337" s="26" t="s">
        <v>73</v>
      </c>
      <c r="F337" s="32">
        <f>43000*5.4</f>
        <v>232200.00000000003</v>
      </c>
      <c r="G337" s="33" t="s">
        <v>315</v>
      </c>
      <c r="J337" s="76"/>
      <c r="K337" s="76"/>
      <c r="M337" s="3">
        <v>2</v>
      </c>
      <c r="N337" s="1" t="s">
        <v>313</v>
      </c>
      <c r="O337" s="83">
        <v>0.02</v>
      </c>
      <c r="P337" s="1" t="s">
        <v>617</v>
      </c>
      <c r="S337" s="27">
        <f>SUMPRODUCT(F337:F338,M337:M338)*O337</f>
        <v>122148</v>
      </c>
      <c r="U337" s="3" t="s">
        <v>177</v>
      </c>
      <c r="W337" s="45">
        <f>VLOOKUP($U337,'Regional splits'!$B$15:$R$22,W$5,FALSE)</f>
        <v>0.1</v>
      </c>
      <c r="X337" s="45">
        <f>VLOOKUP($U337,'Regional splits'!$B$15:$R$22,X$5,FALSE)</f>
        <v>0.1</v>
      </c>
      <c r="Y337" s="45">
        <f>VLOOKUP($U337,'Regional splits'!$B$15:$R$22,Y$5,FALSE)</f>
        <v>0.1</v>
      </c>
      <c r="Z337" s="45">
        <f>VLOOKUP($U337,'Regional splits'!$B$15:$R$22,Z$5,FALSE)</f>
        <v>0.1</v>
      </c>
      <c r="AA337" s="45">
        <f>VLOOKUP($U337,'Regional splits'!$B$15:$R$22,AA$5,FALSE)</f>
        <v>0.1</v>
      </c>
      <c r="AB337" s="45">
        <f>VLOOKUP($U337,'Regional splits'!$B$15:$R$22,AB$5,FALSE)</f>
        <v>0.1</v>
      </c>
      <c r="AC337" s="45">
        <f>VLOOKUP($U337,'Regional splits'!$B$15:$R$22,AC$5,FALSE)</f>
        <v>0.1</v>
      </c>
      <c r="AD337" s="45">
        <f>VLOOKUP($U337,'Regional splits'!$B$15:$R$22,AD$5,FALSE)</f>
        <v>0.1</v>
      </c>
      <c r="AE337" s="45">
        <f>VLOOKUP($U337,'Regional splits'!$B$15:$R$22,AE$5,FALSE)</f>
        <v>0.1</v>
      </c>
      <c r="AF337" s="45">
        <f>VLOOKUP($U337,'Regional splits'!$B$15:$R$22,AF$5,FALSE)</f>
        <v>0.1</v>
      </c>
      <c r="AG337" s="45">
        <f>VLOOKUP($U337,'Regional splits'!$B$15:$R$22,AG$5,FALSE)</f>
        <v>0</v>
      </c>
      <c r="AH337" s="45">
        <f>VLOOKUP($U337,'Regional splits'!$B$15:$R$22,AH$5,FALSE)</f>
        <v>0</v>
      </c>
      <c r="AI337" s="45">
        <f>VLOOKUP($U337,'Regional splits'!$B$15:$R$22,AI$5,FALSE)</f>
        <v>0</v>
      </c>
      <c r="AJ337" s="45">
        <f>VLOOKUP($U337,'Regional splits'!$B$15:$R$22,AJ$5,FALSE)</f>
        <v>0</v>
      </c>
      <c r="AK337" s="45">
        <f>VLOOKUP($U337,'Regional splits'!$B$15:$R$22,AK$5,FALSE)</f>
        <v>0</v>
      </c>
      <c r="AL337" s="45">
        <f>VLOOKUP($U337,'Regional splits'!$B$15:$R$22,AL$5,FALSE)</f>
        <v>0</v>
      </c>
      <c r="AN337" s="3" t="s">
        <v>613</v>
      </c>
      <c r="AP337">
        <f t="shared" ref="AP337:AX337" si="41">IF(ISNUMBER(SEARCH(AP$3,$AN337)),1,0)</f>
        <v>1</v>
      </c>
      <c r="AQ337">
        <f t="shared" si="41"/>
        <v>1</v>
      </c>
      <c r="AR337">
        <f t="shared" si="41"/>
        <v>1</v>
      </c>
      <c r="AS337">
        <f t="shared" si="41"/>
        <v>0</v>
      </c>
      <c r="AT337">
        <f t="shared" si="41"/>
        <v>0</v>
      </c>
      <c r="AU337">
        <f t="shared" si="41"/>
        <v>0</v>
      </c>
      <c r="AV337">
        <f t="shared" si="41"/>
        <v>0</v>
      </c>
      <c r="AW337">
        <f t="shared" si="41"/>
        <v>0</v>
      </c>
      <c r="AX337">
        <f t="shared" si="41"/>
        <v>0</v>
      </c>
      <c r="AY337">
        <f>IF(ISNUMBER(SEARCH(AY$3,$AN337)),1,0)</f>
        <v>0</v>
      </c>
      <c r="BA337" s="31">
        <f>S337*COUNTIFS(AP337:AY337,"1",$AP$4:$AY$4,"TRUE")</f>
        <v>366444</v>
      </c>
    </row>
    <row r="338" spans="2:53" ht="15.75" thickBot="1" x14ac:dyDescent="0.3">
      <c r="B338" s="23">
        <v>1</v>
      </c>
      <c r="C338" s="123"/>
      <c r="D338" s="26" t="s">
        <v>261</v>
      </c>
      <c r="F338" s="32">
        <f>55000*5.4</f>
        <v>297000</v>
      </c>
      <c r="G338" s="33" t="s">
        <v>315</v>
      </c>
      <c r="J338" s="76"/>
      <c r="K338" s="76"/>
      <c r="M338" s="3">
        <f>ROUNDUP(4+(0.61*'Regional splits'!R6)/3,0)</f>
        <v>19</v>
      </c>
      <c r="N338" s="6" t="s">
        <v>314</v>
      </c>
    </row>
    <row r="339" spans="2:53" ht="15.75" thickBot="1" x14ac:dyDescent="0.3">
      <c r="J339" s="76"/>
      <c r="K339" s="76"/>
    </row>
    <row r="340" spans="2:53" ht="15" customHeight="1" x14ac:dyDescent="0.25">
      <c r="B340" s="23"/>
      <c r="C340" s="121" t="s">
        <v>615</v>
      </c>
      <c r="D340" s="26" t="s">
        <v>316</v>
      </c>
      <c r="E340" s="38"/>
      <c r="F340" s="32">
        <v>7423</v>
      </c>
      <c r="G340" s="33" t="s">
        <v>315</v>
      </c>
      <c r="J340" s="76" t="s">
        <v>541</v>
      </c>
      <c r="K340" s="76"/>
      <c r="M340" s="3">
        <v>0</v>
      </c>
      <c r="N340" s="1" t="s">
        <v>317</v>
      </c>
      <c r="O340" s="3"/>
      <c r="P340" s="1" t="s">
        <v>318</v>
      </c>
      <c r="S340" s="27">
        <f>M340*(F340*O340+F341*O341+F342)</f>
        <v>0</v>
      </c>
      <c r="U340" s="3" t="s">
        <v>176</v>
      </c>
      <c r="W340" s="45">
        <f>VLOOKUP($U340,'Regional splits'!$B$15:$R$22,W$5,FALSE)</f>
        <v>0</v>
      </c>
      <c r="X340" s="45">
        <f>VLOOKUP($U340,'Regional splits'!$B$15:$R$22,X$5,FALSE)</f>
        <v>0</v>
      </c>
      <c r="Y340" s="45">
        <f>VLOOKUP($U340,'Regional splits'!$B$15:$R$22,Y$5,FALSE)</f>
        <v>0</v>
      </c>
      <c r="Z340" s="45">
        <f>VLOOKUP($U340,'Regional splits'!$B$15:$R$22,Z$5,FALSE)</f>
        <v>0</v>
      </c>
      <c r="AA340" s="45">
        <f>VLOOKUP($U340,'Regional splits'!$B$15:$R$22,AA$5,FALSE)</f>
        <v>0</v>
      </c>
      <c r="AB340" s="45">
        <f>VLOOKUP($U340,'Regional splits'!$B$15:$R$22,AB$5,FALSE)</f>
        <v>0</v>
      </c>
      <c r="AC340" s="45">
        <f>VLOOKUP($U340,'Regional splits'!$B$15:$R$22,AC$5,FALSE)</f>
        <v>0</v>
      </c>
      <c r="AD340" s="45">
        <f>VLOOKUP($U340,'Regional splits'!$B$15:$R$22,AD$5,FALSE)</f>
        <v>0</v>
      </c>
      <c r="AE340" s="45">
        <f>VLOOKUP($U340,'Regional splits'!$B$15:$R$22,AE$5,FALSE)</f>
        <v>0</v>
      </c>
      <c r="AF340" s="45">
        <f>VLOOKUP($U340,'Regional splits'!$B$15:$R$22,AF$5,FALSE)</f>
        <v>0</v>
      </c>
      <c r="AG340" s="45">
        <f>VLOOKUP($U340,'Regional splits'!$B$15:$R$22,AG$5,FALSE)</f>
        <v>0</v>
      </c>
      <c r="AH340" s="45">
        <f>VLOOKUP($U340,'Regional splits'!$B$15:$R$22,AH$5,FALSE)</f>
        <v>0</v>
      </c>
      <c r="AI340" s="45">
        <f>VLOOKUP($U340,'Regional splits'!$B$15:$R$22,AI$5,FALSE)</f>
        <v>0</v>
      </c>
      <c r="AJ340" s="45">
        <f>VLOOKUP($U340,'Regional splits'!$B$15:$R$22,AJ$5,FALSE)</f>
        <v>0</v>
      </c>
      <c r="AK340" s="45">
        <f>VLOOKUP($U340,'Regional splits'!$B$15:$R$22,AK$5,FALSE)</f>
        <v>0</v>
      </c>
      <c r="AL340" s="45">
        <f>VLOOKUP($U340,'Regional splits'!$B$15:$R$22,AL$5,FALSE)</f>
        <v>1</v>
      </c>
      <c r="AN340" s="3" t="s">
        <v>222</v>
      </c>
      <c r="AP340">
        <f t="shared" ref="AP340:AX340" si="42">IF(ISNUMBER(SEARCH(AP$3,$AN340)),1,0)</f>
        <v>1</v>
      </c>
      <c r="AQ340">
        <f t="shared" si="42"/>
        <v>1</v>
      </c>
      <c r="AR340">
        <f t="shared" si="42"/>
        <v>1</v>
      </c>
      <c r="AS340">
        <f t="shared" si="42"/>
        <v>1</v>
      </c>
      <c r="AT340">
        <f t="shared" si="42"/>
        <v>1</v>
      </c>
      <c r="AU340">
        <f t="shared" si="42"/>
        <v>1</v>
      </c>
      <c r="AV340">
        <f t="shared" si="42"/>
        <v>1</v>
      </c>
      <c r="AW340">
        <f t="shared" si="42"/>
        <v>1</v>
      </c>
      <c r="AX340">
        <f t="shared" si="42"/>
        <v>0</v>
      </c>
      <c r="AY340">
        <f>IF(ISNUMBER(SEARCH(AY$3,$AN340)),1,0)</f>
        <v>0</v>
      </c>
      <c r="BA340" s="31">
        <f>S340*COUNTIFS(AP340:AY340,"1",$AP$4:$AY$4,"TRUE")</f>
        <v>0</v>
      </c>
    </row>
    <row r="341" spans="2:53" x14ac:dyDescent="0.25">
      <c r="B341" s="23">
        <v>1</v>
      </c>
      <c r="C341" s="122"/>
      <c r="D341" s="26" t="s">
        <v>128</v>
      </c>
      <c r="F341" s="32"/>
      <c r="G341" s="33" t="s">
        <v>321</v>
      </c>
      <c r="J341" s="76"/>
      <c r="K341" s="76"/>
      <c r="M341" s="1"/>
      <c r="N341" s="1"/>
      <c r="O341" s="3"/>
      <c r="P341" s="1" t="s">
        <v>322</v>
      </c>
    </row>
    <row r="342" spans="2:53" ht="15.75" thickBot="1" x14ac:dyDescent="0.3">
      <c r="B342" s="23"/>
      <c r="C342" s="123"/>
      <c r="D342" s="26" t="s">
        <v>66</v>
      </c>
      <c r="E342" s="26" t="s">
        <v>279</v>
      </c>
      <c r="F342" s="32"/>
      <c r="G342" s="33" t="s">
        <v>323</v>
      </c>
      <c r="J342" s="76"/>
      <c r="K342" s="76"/>
      <c r="M342" s="1"/>
      <c r="N342" s="1"/>
      <c r="O342" s="1"/>
      <c r="P342" s="1"/>
    </row>
    <row r="343" spans="2:53" ht="15.75" thickBot="1" x14ac:dyDescent="0.3">
      <c r="J343" s="76"/>
      <c r="K343" s="76"/>
    </row>
    <row r="344" spans="2:53" x14ac:dyDescent="0.25">
      <c r="B344" s="23">
        <v>1</v>
      </c>
      <c r="C344" s="121" t="s">
        <v>614</v>
      </c>
      <c r="D344" s="26" t="s">
        <v>319</v>
      </c>
      <c r="E344" s="26" t="s">
        <v>324</v>
      </c>
      <c r="F344" s="32"/>
      <c r="J344" s="76"/>
      <c r="K344" s="76"/>
      <c r="M344" s="3">
        <v>0</v>
      </c>
      <c r="N344" s="1" t="s">
        <v>308</v>
      </c>
      <c r="S344" s="27">
        <f>SUMPRODUCT(F344:F347,M344:M347)+SUMPRODUCT(F348:F354,M348:M354,O348:O354)</f>
        <v>0</v>
      </c>
      <c r="U344" s="3" t="s">
        <v>176</v>
      </c>
      <c r="W344" s="45">
        <f>VLOOKUP($U344,'Regional splits'!$B$15:$R$22,W$5,FALSE)</f>
        <v>0</v>
      </c>
      <c r="X344" s="45">
        <f>VLOOKUP($U344,'Regional splits'!$B$15:$R$22,X$5,FALSE)</f>
        <v>0</v>
      </c>
      <c r="Y344" s="45">
        <f>VLOOKUP($U344,'Regional splits'!$B$15:$R$22,Y$5,FALSE)</f>
        <v>0</v>
      </c>
      <c r="Z344" s="45">
        <f>VLOOKUP($U344,'Regional splits'!$B$15:$R$22,Z$5,FALSE)</f>
        <v>0</v>
      </c>
      <c r="AA344" s="45">
        <f>VLOOKUP($U344,'Regional splits'!$B$15:$R$22,AA$5,FALSE)</f>
        <v>0</v>
      </c>
      <c r="AB344" s="45">
        <f>VLOOKUP($U344,'Regional splits'!$B$15:$R$22,AB$5,FALSE)</f>
        <v>0</v>
      </c>
      <c r="AC344" s="45">
        <f>VLOOKUP($U344,'Regional splits'!$B$15:$R$22,AC$5,FALSE)</f>
        <v>0</v>
      </c>
      <c r="AD344" s="45">
        <f>VLOOKUP($U344,'Regional splits'!$B$15:$R$22,AD$5,FALSE)</f>
        <v>0</v>
      </c>
      <c r="AE344" s="45">
        <f>VLOOKUP($U344,'Regional splits'!$B$15:$R$22,AE$5,FALSE)</f>
        <v>0</v>
      </c>
      <c r="AF344" s="45">
        <f>VLOOKUP($U344,'Regional splits'!$B$15:$R$22,AF$5,FALSE)</f>
        <v>0</v>
      </c>
      <c r="AG344" s="45">
        <f>VLOOKUP($U344,'Regional splits'!$B$15:$R$22,AG$5,FALSE)</f>
        <v>0</v>
      </c>
      <c r="AH344" s="45">
        <f>VLOOKUP($U344,'Regional splits'!$B$15:$R$22,AH$5,FALSE)</f>
        <v>0</v>
      </c>
      <c r="AI344" s="45">
        <f>VLOOKUP($U344,'Regional splits'!$B$15:$R$22,AI$5,FALSE)</f>
        <v>0</v>
      </c>
      <c r="AJ344" s="45">
        <f>VLOOKUP($U344,'Regional splits'!$B$15:$R$22,AJ$5,FALSE)</f>
        <v>0</v>
      </c>
      <c r="AK344" s="45">
        <f>VLOOKUP($U344,'Regional splits'!$B$15:$R$22,AK$5,FALSE)</f>
        <v>0</v>
      </c>
      <c r="AL344" s="45">
        <f>VLOOKUP($U344,'Regional splits'!$B$15:$R$22,AL$5,FALSE)</f>
        <v>1</v>
      </c>
      <c r="AN344" s="3" t="s">
        <v>222</v>
      </c>
      <c r="AP344">
        <f t="shared" ref="AP344:AX344" si="43">IF(ISNUMBER(SEARCH(AP$3,$AN344)),1,0)</f>
        <v>1</v>
      </c>
      <c r="AQ344">
        <f t="shared" si="43"/>
        <v>1</v>
      </c>
      <c r="AR344">
        <f t="shared" si="43"/>
        <v>1</v>
      </c>
      <c r="AS344">
        <f t="shared" si="43"/>
        <v>1</v>
      </c>
      <c r="AT344">
        <f t="shared" si="43"/>
        <v>1</v>
      </c>
      <c r="AU344">
        <f t="shared" si="43"/>
        <v>1</v>
      </c>
      <c r="AV344">
        <f t="shared" si="43"/>
        <v>1</v>
      </c>
      <c r="AW344">
        <f t="shared" si="43"/>
        <v>1</v>
      </c>
      <c r="AX344">
        <f t="shared" si="43"/>
        <v>0</v>
      </c>
      <c r="AY344">
        <f>IF(ISNUMBER(SEARCH(AY$3,$AN344)),1,0)</f>
        <v>0</v>
      </c>
      <c r="BA344" s="31">
        <f>S344*COUNTIFS(AP344:AY344,"1",$AP$4:$AY$4,"TRUE")</f>
        <v>0</v>
      </c>
    </row>
    <row r="345" spans="2:53" x14ac:dyDescent="0.25">
      <c r="C345" s="122"/>
      <c r="E345" s="26" t="s">
        <v>326</v>
      </c>
      <c r="F345" s="32"/>
      <c r="J345" s="76"/>
      <c r="K345" s="76"/>
      <c r="M345" s="3">
        <v>0</v>
      </c>
      <c r="N345" s="1" t="s">
        <v>308</v>
      </c>
    </row>
    <row r="346" spans="2:53" x14ac:dyDescent="0.25">
      <c r="C346" s="122"/>
      <c r="E346" s="26" t="s">
        <v>325</v>
      </c>
      <c r="F346" s="32"/>
      <c r="J346" s="76"/>
      <c r="K346" s="76"/>
      <c r="M346" s="3">
        <v>0</v>
      </c>
      <c r="N346" s="1" t="s">
        <v>308</v>
      </c>
    </row>
    <row r="347" spans="2:53" x14ac:dyDescent="0.25">
      <c r="C347" s="122"/>
      <c r="E347" s="26" t="s">
        <v>327</v>
      </c>
      <c r="F347" s="32"/>
      <c r="J347" s="76"/>
      <c r="K347" s="76"/>
      <c r="M347" s="3">
        <v>0</v>
      </c>
      <c r="N347" s="1" t="s">
        <v>308</v>
      </c>
    </row>
    <row r="348" spans="2:53" ht="15" customHeight="1" x14ac:dyDescent="0.25">
      <c r="B348" s="23"/>
      <c r="C348" s="122"/>
      <c r="D348" s="26" t="s">
        <v>257</v>
      </c>
      <c r="E348" s="26" t="s">
        <v>98</v>
      </c>
      <c r="F348" s="32"/>
      <c r="J348" s="76"/>
      <c r="K348" s="76"/>
      <c r="M348" s="3">
        <v>0</v>
      </c>
      <c r="N348" s="1" t="s">
        <v>308</v>
      </c>
      <c r="O348" s="3"/>
      <c r="P348" s="1" t="s">
        <v>328</v>
      </c>
    </row>
    <row r="349" spans="2:53" x14ac:dyDescent="0.25">
      <c r="C349" s="122"/>
      <c r="E349" s="26" t="s">
        <v>99</v>
      </c>
      <c r="F349" s="32"/>
      <c r="J349" s="76"/>
      <c r="K349" s="76"/>
      <c r="M349" s="3">
        <v>0</v>
      </c>
      <c r="N349" s="1" t="s">
        <v>308</v>
      </c>
      <c r="O349" s="3"/>
      <c r="P349" s="1" t="s">
        <v>328</v>
      </c>
    </row>
    <row r="350" spans="2:53" x14ac:dyDescent="0.25">
      <c r="C350" s="122"/>
      <c r="E350" s="26" t="s">
        <v>100</v>
      </c>
      <c r="F350" s="32"/>
      <c r="J350" s="76"/>
      <c r="K350" s="76"/>
      <c r="M350" s="3">
        <v>0</v>
      </c>
      <c r="N350" s="1" t="s">
        <v>308</v>
      </c>
      <c r="O350" s="3"/>
      <c r="P350" s="1" t="s">
        <v>328</v>
      </c>
    </row>
    <row r="351" spans="2:53" x14ac:dyDescent="0.25">
      <c r="C351" s="122"/>
      <c r="E351" s="26" t="s">
        <v>101</v>
      </c>
      <c r="F351" s="32"/>
      <c r="J351" s="76"/>
      <c r="K351" s="76"/>
      <c r="M351" s="3">
        <v>0</v>
      </c>
      <c r="N351" s="1" t="s">
        <v>308</v>
      </c>
      <c r="O351" s="3"/>
      <c r="P351" s="1" t="s">
        <v>328</v>
      </c>
    </row>
    <row r="352" spans="2:53" x14ac:dyDescent="0.25">
      <c r="C352" s="122"/>
      <c r="E352" s="26" t="s">
        <v>102</v>
      </c>
      <c r="F352" s="32"/>
      <c r="J352" s="76"/>
      <c r="K352" s="76"/>
      <c r="M352" s="3">
        <v>0</v>
      </c>
      <c r="N352" s="1" t="s">
        <v>308</v>
      </c>
      <c r="O352" s="3"/>
      <c r="P352" s="1" t="s">
        <v>328</v>
      </c>
    </row>
    <row r="353" spans="3:53" x14ac:dyDescent="0.25">
      <c r="C353" s="122"/>
      <c r="E353" s="26" t="s">
        <v>110</v>
      </c>
      <c r="F353" s="32"/>
      <c r="J353" s="76"/>
      <c r="K353" s="76"/>
      <c r="M353" s="3">
        <v>0</v>
      </c>
      <c r="N353" s="1" t="s">
        <v>308</v>
      </c>
      <c r="O353" s="3"/>
      <c r="P353" s="1" t="s">
        <v>328</v>
      </c>
    </row>
    <row r="354" spans="3:53" ht="15.75" thickBot="1" x14ac:dyDescent="0.3">
      <c r="C354" s="123"/>
      <c r="E354" s="26" t="s">
        <v>109</v>
      </c>
      <c r="F354" s="32"/>
      <c r="J354" s="76"/>
      <c r="K354" s="76"/>
      <c r="M354" s="3">
        <v>0</v>
      </c>
      <c r="N354" s="1" t="s">
        <v>308</v>
      </c>
      <c r="O354" s="3"/>
      <c r="P354" s="1" t="s">
        <v>328</v>
      </c>
    </row>
    <row r="355" spans="3:53" ht="15.75" thickBot="1" x14ac:dyDescent="0.3">
      <c r="D355" s="39"/>
      <c r="J355" s="76"/>
      <c r="K355" s="76"/>
    </row>
    <row r="356" spans="3:53" x14ac:dyDescent="0.25">
      <c r="C356" s="118" t="s">
        <v>616</v>
      </c>
      <c r="D356" s="26" t="s">
        <v>618</v>
      </c>
      <c r="F356" s="39" t="s">
        <v>227</v>
      </c>
      <c r="G356" s="33"/>
      <c r="J356" s="76"/>
      <c r="K356" s="76"/>
      <c r="M356" s="3">
        <v>30</v>
      </c>
      <c r="N356" s="1" t="s">
        <v>225</v>
      </c>
      <c r="O356" s="3">
        <v>1</v>
      </c>
      <c r="P356" s="1" t="s">
        <v>229</v>
      </c>
      <c r="S356" s="27">
        <f>(HLOOKUP(M357,$AR$19:$AU$31,$AO$20,FALSE)+ROUNDUP(M358,0)*(HLOOKUP(M357,$AR$19:$AU$31,$AO$22,FALSE)+HLOOKUP(M357,$AR$19:$AU$31,$AO$24,FALSE)+M356*HLOOKUP(M357,$AR$19:$AU$31,$AO$23,FALSE)+(M356+HLOOKUP(M357,$AR$19:$AU$31,$AO$27,FALSE))*HLOOKUP(M357,$AR$19:$AU$31,$AO$25,FALSE))+(M356+HLOOKUP(M357,$AR$19:$AU$31,$AO$28,FALSE))*IF(M358&gt;0.5,HLOOKUP(M357,$AR$19:$AU$31,$AO$30,FALSE),HLOOKUP(M357,$AR$19:$AU$31,$AO$31,FALSE)))*O356</f>
        <v>28677.576000000001</v>
      </c>
      <c r="U356" s="3" t="s">
        <v>176</v>
      </c>
      <c r="W356" s="45">
        <f>VLOOKUP($U356,'Regional splits'!$B$15:$R$22,W$5,FALSE)</f>
        <v>0</v>
      </c>
      <c r="X356" s="45">
        <f>VLOOKUP($U356,'Regional splits'!$B$15:$R$22,X$5,FALSE)</f>
        <v>0</v>
      </c>
      <c r="Y356" s="45">
        <f>VLOOKUP($U356,'Regional splits'!$B$15:$R$22,Y$5,FALSE)</f>
        <v>0</v>
      </c>
      <c r="Z356" s="45">
        <f>VLOOKUP($U356,'Regional splits'!$B$15:$R$22,Z$5,FALSE)</f>
        <v>0</v>
      </c>
      <c r="AA356" s="45">
        <f>VLOOKUP($U356,'Regional splits'!$B$15:$R$22,AA$5,FALSE)</f>
        <v>0</v>
      </c>
      <c r="AB356" s="45">
        <f>VLOOKUP($U356,'Regional splits'!$B$15:$R$22,AB$5,FALSE)</f>
        <v>0</v>
      </c>
      <c r="AC356" s="45">
        <f>VLOOKUP($U356,'Regional splits'!$B$15:$R$22,AC$5,FALSE)</f>
        <v>0</v>
      </c>
      <c r="AD356" s="45">
        <f>VLOOKUP($U356,'Regional splits'!$B$15:$R$22,AD$5,FALSE)</f>
        <v>0</v>
      </c>
      <c r="AE356" s="45">
        <f>VLOOKUP($U356,'Regional splits'!$B$15:$R$22,AE$5,FALSE)</f>
        <v>0</v>
      </c>
      <c r="AF356" s="45">
        <f>VLOOKUP($U356,'Regional splits'!$B$15:$R$22,AF$5,FALSE)</f>
        <v>0</v>
      </c>
      <c r="AG356" s="45">
        <f>VLOOKUP($U356,'Regional splits'!$B$15:$R$22,AG$5,FALSE)</f>
        <v>0</v>
      </c>
      <c r="AH356" s="45">
        <f>VLOOKUP($U356,'Regional splits'!$B$15:$R$22,AH$5,FALSE)</f>
        <v>0</v>
      </c>
      <c r="AI356" s="45">
        <f>VLOOKUP($U356,'Regional splits'!$B$15:$R$22,AI$5,FALSE)</f>
        <v>0</v>
      </c>
      <c r="AJ356" s="45">
        <f>VLOOKUP($U356,'Regional splits'!$B$15:$R$22,AJ$5,FALSE)</f>
        <v>0</v>
      </c>
      <c r="AK356" s="45">
        <f>VLOOKUP($U356,'Regional splits'!$B$15:$R$22,AK$5,FALSE)</f>
        <v>0</v>
      </c>
      <c r="AL356" s="45">
        <f>VLOOKUP($U356,'Regional splits'!$B$15:$R$22,AL$5,FALSE)</f>
        <v>1</v>
      </c>
      <c r="AN356" s="3">
        <v>2014</v>
      </c>
      <c r="AP356">
        <f t="shared" ref="AP356:AX356" si="44">IF(ISNUMBER(SEARCH(AP$3,$AN356)),1,0)</f>
        <v>0</v>
      </c>
      <c r="AQ356">
        <f t="shared" si="44"/>
        <v>1</v>
      </c>
      <c r="AR356">
        <f t="shared" si="44"/>
        <v>0</v>
      </c>
      <c r="AS356">
        <f t="shared" si="44"/>
        <v>0</v>
      </c>
      <c r="AT356">
        <f t="shared" si="44"/>
        <v>0</v>
      </c>
      <c r="AU356">
        <f t="shared" si="44"/>
        <v>0</v>
      </c>
      <c r="AV356">
        <f t="shared" si="44"/>
        <v>0</v>
      </c>
      <c r="AW356">
        <f t="shared" si="44"/>
        <v>0</v>
      </c>
      <c r="AX356">
        <f t="shared" si="44"/>
        <v>0</v>
      </c>
      <c r="AY356">
        <f>IF(ISNUMBER(SEARCH(AY$3,$AN356)),1,0)</f>
        <v>0</v>
      </c>
      <c r="BA356" s="31">
        <f>S356*COUNTIFS(AP356:AY356,"1",$AP$4:$AY$4,"TRUE")</f>
        <v>28677.576000000001</v>
      </c>
    </row>
    <row r="357" spans="3:53" x14ac:dyDescent="0.25">
      <c r="C357" s="119"/>
      <c r="G357" s="33"/>
      <c r="J357" s="76"/>
      <c r="K357" s="76"/>
      <c r="M357" s="3" t="s">
        <v>50</v>
      </c>
      <c r="N357" s="1" t="s">
        <v>226</v>
      </c>
      <c r="U357" s="26"/>
      <c r="W357" s="84"/>
      <c r="X357" s="84"/>
      <c r="Y357" s="84"/>
      <c r="Z357" s="84"/>
      <c r="AA357" s="84"/>
      <c r="AB357" s="84"/>
      <c r="AC357" s="84"/>
      <c r="AD357" s="84"/>
      <c r="AE357" s="84"/>
      <c r="AF357" s="84"/>
      <c r="AG357" s="84"/>
      <c r="AH357" s="84"/>
      <c r="AI357" s="84"/>
      <c r="AJ357" s="84"/>
      <c r="AK357" s="84"/>
      <c r="AL357" s="84"/>
      <c r="AN357" s="26"/>
    </row>
    <row r="358" spans="3:53" ht="15.75" thickBot="1" x14ac:dyDescent="0.3">
      <c r="C358" s="120"/>
      <c r="G358" s="33"/>
      <c r="J358" s="76"/>
      <c r="K358" s="76"/>
      <c r="M358" s="3">
        <v>1</v>
      </c>
      <c r="N358" s="1" t="s">
        <v>252</v>
      </c>
      <c r="U358" s="26"/>
      <c r="W358" s="84"/>
      <c r="X358" s="84"/>
      <c r="Y358" s="84"/>
      <c r="Z358" s="84"/>
      <c r="AA358" s="84"/>
      <c r="AB358" s="84"/>
      <c r="AC358" s="84"/>
      <c r="AD358" s="84"/>
      <c r="AE358" s="84"/>
      <c r="AF358" s="84"/>
      <c r="AG358" s="84"/>
      <c r="AH358" s="84"/>
      <c r="AI358" s="84"/>
      <c r="AJ358" s="84"/>
      <c r="AK358" s="84"/>
      <c r="AL358" s="84"/>
      <c r="AN358" s="26"/>
    </row>
    <row r="359" spans="3:53" hidden="1" x14ac:dyDescent="0.25">
      <c r="C359" s="53"/>
      <c r="F359" s="33"/>
      <c r="G359" s="33"/>
      <c r="J359" s="76"/>
      <c r="K359" s="76"/>
    </row>
    <row r="360" spans="3:53" ht="60.75" hidden="1" thickBot="1" x14ac:dyDescent="0.3">
      <c r="C360" s="52" t="s">
        <v>456</v>
      </c>
      <c r="D360" s="38" t="s">
        <v>454</v>
      </c>
      <c r="E360" s="26" t="s">
        <v>454</v>
      </c>
      <c r="F360" s="32"/>
      <c r="G360" s="33" t="s">
        <v>455</v>
      </c>
      <c r="J360" s="76"/>
      <c r="K360" s="76"/>
      <c r="M360" s="3"/>
      <c r="N360" s="1" t="s">
        <v>455</v>
      </c>
      <c r="S360" s="27">
        <f>F360*M360</f>
        <v>0</v>
      </c>
      <c r="U360" s="3"/>
      <c r="W360" s="45" t="e">
        <f>VLOOKUP($U360,'Regional splits'!$B$15:$R$22,W$5,FALSE)</f>
        <v>#N/A</v>
      </c>
      <c r="X360" s="45" t="e">
        <f>VLOOKUP($U360,'Regional splits'!$B$15:$R$22,X$5,FALSE)</f>
        <v>#N/A</v>
      </c>
      <c r="Y360" s="45" t="e">
        <f>VLOOKUP($U360,'Regional splits'!$B$15:$R$22,Y$5,FALSE)</f>
        <v>#N/A</v>
      </c>
      <c r="Z360" s="45" t="e">
        <f>VLOOKUP($U360,'Regional splits'!$B$15:$R$22,Z$5,FALSE)</f>
        <v>#N/A</v>
      </c>
      <c r="AA360" s="45" t="e">
        <f>VLOOKUP($U360,'Regional splits'!$B$15:$R$22,AA$5,FALSE)</f>
        <v>#N/A</v>
      </c>
      <c r="AB360" s="45" t="e">
        <f>VLOOKUP($U360,'Regional splits'!$B$15:$R$22,AB$5,FALSE)</f>
        <v>#N/A</v>
      </c>
      <c r="AC360" s="45" t="e">
        <f>VLOOKUP($U360,'Regional splits'!$B$15:$R$22,AC$5,FALSE)</f>
        <v>#N/A</v>
      </c>
      <c r="AD360" s="45" t="e">
        <f>VLOOKUP($U360,'Regional splits'!$B$15:$R$22,AD$5,FALSE)</f>
        <v>#N/A</v>
      </c>
      <c r="AE360" s="45" t="e">
        <f>VLOOKUP($U360,'Regional splits'!$B$15:$R$22,AE$5,FALSE)</f>
        <v>#N/A</v>
      </c>
      <c r="AF360" s="45" t="e">
        <f>VLOOKUP($U360,'Regional splits'!$B$15:$R$22,AF$5,FALSE)</f>
        <v>#N/A</v>
      </c>
      <c r="AG360" s="45" t="e">
        <f>VLOOKUP($U360,'Regional splits'!$B$15:$R$22,AG$5,FALSE)</f>
        <v>#N/A</v>
      </c>
      <c r="AH360" s="45" t="e">
        <f>VLOOKUP($U360,'Regional splits'!$B$15:$R$22,AH$5,FALSE)</f>
        <v>#N/A</v>
      </c>
      <c r="AI360" s="45" t="e">
        <f>VLOOKUP($U360,'Regional splits'!$B$15:$R$22,AI$5,FALSE)</f>
        <v>#N/A</v>
      </c>
      <c r="AJ360" s="45" t="e">
        <f>VLOOKUP($U360,'Regional splits'!$B$15:$R$22,AJ$5,FALSE)</f>
        <v>#N/A</v>
      </c>
      <c r="AK360" s="45" t="e">
        <f>VLOOKUP($U360,'Regional splits'!$B$15:$R$22,AK$5,FALSE)</f>
        <v>#N/A</v>
      </c>
      <c r="AL360" s="45" t="e">
        <f>VLOOKUP($U360,'Regional splits'!$B$15:$R$22,AL$5,FALSE)</f>
        <v>#N/A</v>
      </c>
      <c r="AN360" s="3" t="s">
        <v>444</v>
      </c>
      <c r="AP360">
        <f t="shared" ref="AP360:AX360" si="45">IF(ISNUMBER(SEARCH(AP$3,$AN360)),1,0)</f>
        <v>0</v>
      </c>
      <c r="AQ360">
        <f t="shared" si="45"/>
        <v>1</v>
      </c>
      <c r="AR360">
        <f t="shared" si="45"/>
        <v>0</v>
      </c>
      <c r="AS360">
        <f t="shared" si="45"/>
        <v>1</v>
      </c>
      <c r="AT360">
        <f t="shared" si="45"/>
        <v>0</v>
      </c>
      <c r="AU360">
        <f t="shared" si="45"/>
        <v>1</v>
      </c>
      <c r="AV360">
        <f t="shared" si="45"/>
        <v>0</v>
      </c>
      <c r="AW360">
        <f t="shared" si="45"/>
        <v>0</v>
      </c>
      <c r="AX360">
        <f t="shared" si="45"/>
        <v>0</v>
      </c>
      <c r="AY360">
        <f>IF(ISNUMBER(SEARCH(AY$3,$AN360)),1,0)</f>
        <v>0</v>
      </c>
      <c r="BA360" s="31">
        <f>S360*COUNTIFS(AP360:AY360,"1",$AP$4:$AY$4,"TRUE")</f>
        <v>0</v>
      </c>
    </row>
    <row r="361" spans="3:53" hidden="1" x14ac:dyDescent="0.25">
      <c r="C361" s="53"/>
      <c r="F361" s="33"/>
      <c r="G361" s="33"/>
      <c r="J361" s="76"/>
      <c r="K361" s="76"/>
    </row>
    <row r="362" spans="3:53" ht="60.75" hidden="1" thickBot="1" x14ac:dyDescent="0.3">
      <c r="C362" s="52" t="s">
        <v>457</v>
      </c>
      <c r="D362" s="26" t="s">
        <v>454</v>
      </c>
      <c r="E362" s="26" t="s">
        <v>454</v>
      </c>
      <c r="F362" s="32"/>
      <c r="G362" s="33" t="s">
        <v>455</v>
      </c>
      <c r="J362" s="76"/>
      <c r="K362" s="76"/>
      <c r="M362" s="3"/>
      <c r="N362" s="1" t="s">
        <v>455</v>
      </c>
      <c r="S362" s="27">
        <f>F362*M362</f>
        <v>0</v>
      </c>
      <c r="U362" s="3"/>
      <c r="W362" s="45" t="e">
        <f>VLOOKUP($U362,'Regional splits'!$B$15:$R$22,W$5,FALSE)</f>
        <v>#N/A</v>
      </c>
      <c r="X362" s="45" t="e">
        <f>VLOOKUP($U362,'Regional splits'!$B$15:$R$22,X$5,FALSE)</f>
        <v>#N/A</v>
      </c>
      <c r="Y362" s="45" t="e">
        <f>VLOOKUP($U362,'Regional splits'!$B$15:$R$22,Y$5,FALSE)</f>
        <v>#N/A</v>
      </c>
      <c r="Z362" s="45" t="e">
        <f>VLOOKUP($U362,'Regional splits'!$B$15:$R$22,Z$5,FALSE)</f>
        <v>#N/A</v>
      </c>
      <c r="AA362" s="45" t="e">
        <f>VLOOKUP($U362,'Regional splits'!$B$15:$R$22,AA$5,FALSE)</f>
        <v>#N/A</v>
      </c>
      <c r="AB362" s="45" t="e">
        <f>VLOOKUP($U362,'Regional splits'!$B$15:$R$22,AB$5,FALSE)</f>
        <v>#N/A</v>
      </c>
      <c r="AC362" s="45" t="e">
        <f>VLOOKUP($U362,'Regional splits'!$B$15:$R$22,AC$5,FALSE)</f>
        <v>#N/A</v>
      </c>
      <c r="AD362" s="45" t="e">
        <f>VLOOKUP($U362,'Regional splits'!$B$15:$R$22,AD$5,FALSE)</f>
        <v>#N/A</v>
      </c>
      <c r="AE362" s="45" t="e">
        <f>VLOOKUP($U362,'Regional splits'!$B$15:$R$22,AE$5,FALSE)</f>
        <v>#N/A</v>
      </c>
      <c r="AF362" s="45" t="e">
        <f>VLOOKUP($U362,'Regional splits'!$B$15:$R$22,AF$5,FALSE)</f>
        <v>#N/A</v>
      </c>
      <c r="AG362" s="45" t="e">
        <f>VLOOKUP($U362,'Regional splits'!$B$15:$R$22,AG$5,FALSE)</f>
        <v>#N/A</v>
      </c>
      <c r="AH362" s="45" t="e">
        <f>VLOOKUP($U362,'Regional splits'!$B$15:$R$22,AH$5,FALSE)</f>
        <v>#N/A</v>
      </c>
      <c r="AI362" s="45" t="e">
        <f>VLOOKUP($U362,'Regional splits'!$B$15:$R$22,AI$5,FALSE)</f>
        <v>#N/A</v>
      </c>
      <c r="AJ362" s="45" t="e">
        <f>VLOOKUP($U362,'Regional splits'!$B$15:$R$22,AJ$5,FALSE)</f>
        <v>#N/A</v>
      </c>
      <c r="AK362" s="45" t="e">
        <f>VLOOKUP($U362,'Regional splits'!$B$15:$R$22,AK$5,FALSE)</f>
        <v>#N/A</v>
      </c>
      <c r="AL362" s="45" t="e">
        <f>VLOOKUP($U362,'Regional splits'!$B$15:$R$22,AL$5,FALSE)</f>
        <v>#N/A</v>
      </c>
      <c r="AN362" s="3" t="s">
        <v>444</v>
      </c>
      <c r="AP362">
        <f t="shared" ref="AP362:AX362" si="46">IF(ISNUMBER(SEARCH(AP$3,$AN362)),1,0)</f>
        <v>0</v>
      </c>
      <c r="AQ362">
        <f t="shared" si="46"/>
        <v>1</v>
      </c>
      <c r="AR362">
        <f t="shared" si="46"/>
        <v>0</v>
      </c>
      <c r="AS362">
        <f t="shared" si="46"/>
        <v>1</v>
      </c>
      <c r="AT362">
        <f t="shared" si="46"/>
        <v>0</v>
      </c>
      <c r="AU362">
        <f t="shared" si="46"/>
        <v>1</v>
      </c>
      <c r="AV362">
        <f t="shared" si="46"/>
        <v>0</v>
      </c>
      <c r="AW362">
        <f t="shared" si="46"/>
        <v>0</v>
      </c>
      <c r="AX362">
        <f t="shared" si="46"/>
        <v>0</v>
      </c>
      <c r="AY362">
        <f>IF(ISNUMBER(SEARCH(AY$3,$AN362)),1,0)</f>
        <v>0</v>
      </c>
      <c r="BA362" s="31">
        <f>S362*COUNTIFS(AP362:AY362,"1",$AP$4:$AY$4,"TRUE")</f>
        <v>0</v>
      </c>
    </row>
    <row r="363" spans="3:53" x14ac:dyDescent="0.25">
      <c r="F363" s="33"/>
      <c r="G363" s="33"/>
      <c r="J363" s="76"/>
      <c r="K363" s="76"/>
    </row>
    <row r="364" spans="3:53" ht="18" thickBot="1" x14ac:dyDescent="0.35">
      <c r="C364" s="11" t="s">
        <v>263</v>
      </c>
      <c r="J364" s="76"/>
      <c r="K364" s="76"/>
      <c r="P364" s="4"/>
    </row>
    <row r="365" spans="3:53" ht="16.5" thickTop="1" thickBot="1" x14ac:dyDescent="0.3">
      <c r="J365" s="76"/>
      <c r="K365" s="76"/>
    </row>
    <row r="366" spans="3:53" x14ac:dyDescent="0.25">
      <c r="C366" s="121" t="s">
        <v>621</v>
      </c>
      <c r="D366" s="26" t="s">
        <v>622</v>
      </c>
      <c r="E366" s="26" t="s">
        <v>238</v>
      </c>
      <c r="F366" s="39" t="s">
        <v>227</v>
      </c>
      <c r="J366" s="76"/>
      <c r="K366" s="76"/>
      <c r="M366" s="3">
        <v>30</v>
      </c>
      <c r="N366" s="1" t="s">
        <v>225</v>
      </c>
      <c r="O366" s="3">
        <v>1</v>
      </c>
      <c r="P366" s="1" t="s">
        <v>229</v>
      </c>
      <c r="S366" s="27">
        <f>(HLOOKUP(M367,$AR$19:$AU$31,$AO$20,FALSE)+ROUNDUP(M368,0)*(HLOOKUP(M367,$AR$19:$AU$31,$AO$22,FALSE)+HLOOKUP(M367,$AR$19:$AU$31,$AO$24,FALSE)+M366*HLOOKUP(M367,$AR$19:$AU$31,$AO$23,FALSE)+(M366+HLOOKUP(M367,$AR$19:$AU$31,$AO$27,FALSE))*HLOOKUP(M367,$AR$19:$AU$31,$AO$25,FALSE))+(M366+HLOOKUP(M367,$AR$19:$AU$31,$AO$28,FALSE))*IF(M368&gt;0.5,HLOOKUP(M367,$AR$19:$AU$31,$AO$30,FALSE),HLOOKUP(M367,$AR$19:$AU$31,$AO$31,FALSE)))*O366</f>
        <v>118201.064</v>
      </c>
      <c r="U366" s="3" t="s">
        <v>176</v>
      </c>
      <c r="W366" s="45">
        <f>VLOOKUP($U366,'Regional splits'!$B$15:$R$22,W$5,FALSE)</f>
        <v>0</v>
      </c>
      <c r="X366" s="45">
        <f>VLOOKUP($U366,'Regional splits'!$B$15:$R$22,X$5,FALSE)</f>
        <v>0</v>
      </c>
      <c r="Y366" s="45">
        <f>VLOOKUP($U366,'Regional splits'!$B$15:$R$22,Y$5,FALSE)</f>
        <v>0</v>
      </c>
      <c r="Z366" s="45">
        <f>VLOOKUP($U366,'Regional splits'!$B$15:$R$22,Z$5,FALSE)</f>
        <v>0</v>
      </c>
      <c r="AA366" s="45">
        <f>VLOOKUP($U366,'Regional splits'!$B$15:$R$22,AA$5,FALSE)</f>
        <v>0</v>
      </c>
      <c r="AB366" s="45">
        <f>VLOOKUP($U366,'Regional splits'!$B$15:$R$22,AB$5,FALSE)</f>
        <v>0</v>
      </c>
      <c r="AC366" s="45">
        <f>VLOOKUP($U366,'Regional splits'!$B$15:$R$22,AC$5,FALSE)</f>
        <v>0</v>
      </c>
      <c r="AD366" s="45">
        <f>VLOOKUP($U366,'Regional splits'!$B$15:$R$22,AD$5,FALSE)</f>
        <v>0</v>
      </c>
      <c r="AE366" s="45">
        <f>VLOOKUP($U366,'Regional splits'!$B$15:$R$22,AE$5,FALSE)</f>
        <v>0</v>
      </c>
      <c r="AF366" s="45">
        <f>VLOOKUP($U366,'Regional splits'!$B$15:$R$22,AF$5,FALSE)</f>
        <v>0</v>
      </c>
      <c r="AG366" s="45">
        <f>VLOOKUP($U366,'Regional splits'!$B$15:$R$22,AG$5,FALSE)</f>
        <v>0</v>
      </c>
      <c r="AH366" s="45">
        <f>VLOOKUP($U366,'Regional splits'!$B$15:$R$22,AH$5,FALSE)</f>
        <v>0</v>
      </c>
      <c r="AI366" s="45">
        <f>VLOOKUP($U366,'Regional splits'!$B$15:$R$22,AI$5,FALSE)</f>
        <v>0</v>
      </c>
      <c r="AJ366" s="45">
        <f>VLOOKUP($U366,'Regional splits'!$B$15:$R$22,AJ$5,FALSE)</f>
        <v>0</v>
      </c>
      <c r="AK366" s="45">
        <f>VLOOKUP($U366,'Regional splits'!$B$15:$R$22,AK$5,FALSE)</f>
        <v>0</v>
      </c>
      <c r="AL366" s="45">
        <f>VLOOKUP($U366,'Regional splits'!$B$15:$R$22,AL$5,FALSE)</f>
        <v>1</v>
      </c>
      <c r="AN366" s="3" t="s">
        <v>623</v>
      </c>
      <c r="AP366">
        <f t="shared" ref="AP366:AX366" si="47">IF(ISNUMBER(SEARCH(AP$3,$AN366)),1,0)</f>
        <v>1</v>
      </c>
      <c r="AQ366">
        <f t="shared" si="47"/>
        <v>0</v>
      </c>
      <c r="AR366">
        <f t="shared" si="47"/>
        <v>0</v>
      </c>
      <c r="AS366">
        <f t="shared" si="47"/>
        <v>0</v>
      </c>
      <c r="AT366">
        <f t="shared" si="47"/>
        <v>0</v>
      </c>
      <c r="AU366">
        <f t="shared" si="47"/>
        <v>1</v>
      </c>
      <c r="AV366">
        <f t="shared" si="47"/>
        <v>0</v>
      </c>
      <c r="AW366">
        <f t="shared" si="47"/>
        <v>0</v>
      </c>
      <c r="AX366">
        <f t="shared" si="47"/>
        <v>0</v>
      </c>
      <c r="AY366">
        <f>IF(ISNUMBER(SEARCH(AY$3,$AN366)),1,0)</f>
        <v>0</v>
      </c>
      <c r="BA366" s="31">
        <f>S366*COUNTIFS(AP366:AY366,"1",$AP$4:$AY$4,"TRUE")</f>
        <v>236402.128</v>
      </c>
    </row>
    <row r="367" spans="3:53" x14ac:dyDescent="0.25">
      <c r="C367" s="122"/>
      <c r="J367" s="76"/>
      <c r="K367" s="76"/>
      <c r="M367" s="3" t="s">
        <v>50</v>
      </c>
      <c r="N367" s="1" t="s">
        <v>226</v>
      </c>
    </row>
    <row r="368" spans="3:53" ht="15.75" thickBot="1" x14ac:dyDescent="0.3">
      <c r="C368" s="123"/>
      <c r="J368" s="76"/>
      <c r="K368" s="76"/>
      <c r="M368" s="3">
        <v>5</v>
      </c>
      <c r="N368" s="1" t="s">
        <v>252</v>
      </c>
    </row>
    <row r="369" spans="3:53" ht="15.75" thickBot="1" x14ac:dyDescent="0.3">
      <c r="J369" s="76"/>
      <c r="K369" s="76"/>
    </row>
    <row r="370" spans="3:53" ht="45.75" thickBot="1" x14ac:dyDescent="0.3">
      <c r="C370" s="52" t="s">
        <v>625</v>
      </c>
      <c r="D370" s="26" t="s">
        <v>624</v>
      </c>
      <c r="E370" s="26" t="s">
        <v>68</v>
      </c>
      <c r="F370" s="32">
        <v>1500</v>
      </c>
      <c r="G370" s="33" t="s">
        <v>189</v>
      </c>
      <c r="J370" s="76" t="s">
        <v>524</v>
      </c>
      <c r="K370" s="76"/>
      <c r="M370" s="3">
        <v>1</v>
      </c>
      <c r="N370" s="1" t="s">
        <v>223</v>
      </c>
      <c r="O370" s="3">
        <v>30</v>
      </c>
      <c r="P370" s="1" t="s">
        <v>224</v>
      </c>
      <c r="S370" s="27">
        <f>F370*M370*O370</f>
        <v>45000</v>
      </c>
      <c r="U370" s="3" t="s">
        <v>176</v>
      </c>
      <c r="W370" s="45">
        <f>VLOOKUP($U370,'Regional splits'!$B$15:$R$22,W$5,FALSE)</f>
        <v>0</v>
      </c>
      <c r="X370" s="45">
        <f>VLOOKUP($U370,'Regional splits'!$B$15:$R$22,X$5,FALSE)</f>
        <v>0</v>
      </c>
      <c r="Y370" s="45">
        <f>VLOOKUP($U370,'Regional splits'!$B$15:$R$22,Y$5,FALSE)</f>
        <v>0</v>
      </c>
      <c r="Z370" s="45">
        <f>VLOOKUP($U370,'Regional splits'!$B$15:$R$22,Z$5,FALSE)</f>
        <v>0</v>
      </c>
      <c r="AA370" s="45">
        <f>VLOOKUP($U370,'Regional splits'!$B$15:$R$22,AA$5,FALSE)</f>
        <v>0</v>
      </c>
      <c r="AB370" s="45">
        <f>VLOOKUP($U370,'Regional splits'!$B$15:$R$22,AB$5,FALSE)</f>
        <v>0</v>
      </c>
      <c r="AC370" s="45">
        <f>VLOOKUP($U370,'Regional splits'!$B$15:$R$22,AC$5,FALSE)</f>
        <v>0</v>
      </c>
      <c r="AD370" s="45">
        <f>VLOOKUP($U370,'Regional splits'!$B$15:$R$22,AD$5,FALSE)</f>
        <v>0</v>
      </c>
      <c r="AE370" s="45">
        <f>VLOOKUP($U370,'Regional splits'!$B$15:$R$22,AE$5,FALSE)</f>
        <v>0</v>
      </c>
      <c r="AF370" s="45">
        <f>VLOOKUP($U370,'Regional splits'!$B$15:$R$22,AF$5,FALSE)</f>
        <v>0</v>
      </c>
      <c r="AG370" s="45">
        <f>VLOOKUP($U370,'Regional splits'!$B$15:$R$22,AG$5,FALSE)</f>
        <v>0</v>
      </c>
      <c r="AH370" s="45">
        <f>VLOOKUP($U370,'Regional splits'!$B$15:$R$22,AH$5,FALSE)</f>
        <v>0</v>
      </c>
      <c r="AI370" s="45">
        <f>VLOOKUP($U370,'Regional splits'!$B$15:$R$22,AI$5,FALSE)</f>
        <v>0</v>
      </c>
      <c r="AJ370" s="45">
        <f>VLOOKUP($U370,'Regional splits'!$B$15:$R$22,AJ$5,FALSE)</f>
        <v>0</v>
      </c>
      <c r="AK370" s="45">
        <f>VLOOKUP($U370,'Regional splits'!$B$15:$R$22,AK$5,FALSE)</f>
        <v>0</v>
      </c>
      <c r="AL370" s="45">
        <f>VLOOKUP($U370,'Regional splits'!$B$15:$R$22,AL$5,FALSE)</f>
        <v>1</v>
      </c>
      <c r="AN370" s="3" t="s">
        <v>444</v>
      </c>
      <c r="AP370">
        <f t="shared" ref="AP370:AX370" si="48">IF(ISNUMBER(SEARCH(AP$3,$AN370)),1,0)</f>
        <v>0</v>
      </c>
      <c r="AQ370">
        <f t="shared" si="48"/>
        <v>1</v>
      </c>
      <c r="AR370">
        <f t="shared" si="48"/>
        <v>0</v>
      </c>
      <c r="AS370">
        <f t="shared" si="48"/>
        <v>1</v>
      </c>
      <c r="AT370">
        <f t="shared" si="48"/>
        <v>0</v>
      </c>
      <c r="AU370">
        <f t="shared" si="48"/>
        <v>1</v>
      </c>
      <c r="AV370">
        <f t="shared" si="48"/>
        <v>0</v>
      </c>
      <c r="AW370">
        <f t="shared" si="48"/>
        <v>0</v>
      </c>
      <c r="AX370">
        <f t="shared" si="48"/>
        <v>0</v>
      </c>
      <c r="AY370">
        <f>IF(ISNUMBER(SEARCH(AY$3,$AN370)),1,0)</f>
        <v>0</v>
      </c>
      <c r="BA370" s="31">
        <f>S370*COUNTIFS(AP370:AY370,"1",$AP$4:$AY$4,"TRUE")</f>
        <v>135000</v>
      </c>
    </row>
    <row r="371" spans="3:53" ht="15.75" thickBot="1" x14ac:dyDescent="0.3">
      <c r="J371" s="76"/>
      <c r="K371" s="76"/>
    </row>
    <row r="372" spans="3:53" x14ac:dyDescent="0.25">
      <c r="C372" s="121" t="s">
        <v>620</v>
      </c>
      <c r="D372" s="26" t="s">
        <v>333</v>
      </c>
      <c r="E372" s="26" t="s">
        <v>338</v>
      </c>
      <c r="F372" s="32"/>
      <c r="G372" s="33" t="s">
        <v>336</v>
      </c>
      <c r="J372" s="76"/>
      <c r="K372" s="76"/>
      <c r="M372" s="3">
        <v>0</v>
      </c>
      <c r="N372" s="1" t="s">
        <v>334</v>
      </c>
      <c r="S372" s="27">
        <f>M372*M374*(F373+F372*M373)</f>
        <v>0</v>
      </c>
      <c r="U372" s="3" t="s">
        <v>176</v>
      </c>
      <c r="W372" s="45">
        <f>VLOOKUP($U372,'Regional splits'!$B$15:$R$22,W$5,FALSE)</f>
        <v>0</v>
      </c>
      <c r="X372" s="45">
        <f>VLOOKUP($U372,'Regional splits'!$B$15:$R$22,X$5,FALSE)</f>
        <v>0</v>
      </c>
      <c r="Y372" s="45">
        <f>VLOOKUP($U372,'Regional splits'!$B$15:$R$22,Y$5,FALSE)</f>
        <v>0</v>
      </c>
      <c r="Z372" s="45">
        <f>VLOOKUP($U372,'Regional splits'!$B$15:$R$22,Z$5,FALSE)</f>
        <v>0</v>
      </c>
      <c r="AA372" s="45">
        <f>VLOOKUP($U372,'Regional splits'!$B$15:$R$22,AA$5,FALSE)</f>
        <v>0</v>
      </c>
      <c r="AB372" s="45">
        <f>VLOOKUP($U372,'Regional splits'!$B$15:$R$22,AB$5,FALSE)</f>
        <v>0</v>
      </c>
      <c r="AC372" s="45">
        <f>VLOOKUP($U372,'Regional splits'!$B$15:$R$22,AC$5,FALSE)</f>
        <v>0</v>
      </c>
      <c r="AD372" s="45">
        <f>VLOOKUP($U372,'Regional splits'!$B$15:$R$22,AD$5,FALSE)</f>
        <v>0</v>
      </c>
      <c r="AE372" s="45">
        <f>VLOOKUP($U372,'Regional splits'!$B$15:$R$22,AE$5,FALSE)</f>
        <v>0</v>
      </c>
      <c r="AF372" s="45">
        <f>VLOOKUP($U372,'Regional splits'!$B$15:$R$22,AF$5,FALSE)</f>
        <v>0</v>
      </c>
      <c r="AG372" s="45">
        <f>VLOOKUP($U372,'Regional splits'!$B$15:$R$22,AG$5,FALSE)</f>
        <v>0</v>
      </c>
      <c r="AH372" s="45">
        <f>VLOOKUP($U372,'Regional splits'!$B$15:$R$22,AH$5,FALSE)</f>
        <v>0</v>
      </c>
      <c r="AI372" s="45">
        <f>VLOOKUP($U372,'Regional splits'!$B$15:$R$22,AI$5,FALSE)</f>
        <v>0</v>
      </c>
      <c r="AJ372" s="45">
        <f>VLOOKUP($U372,'Regional splits'!$B$15:$R$22,AJ$5,FALSE)</f>
        <v>0</v>
      </c>
      <c r="AK372" s="45">
        <f>VLOOKUP($U372,'Regional splits'!$B$15:$R$22,AK$5,FALSE)</f>
        <v>0</v>
      </c>
      <c r="AL372" s="45">
        <f>VLOOKUP($U372,'Regional splits'!$B$15:$R$22,AL$5,FALSE)</f>
        <v>1</v>
      </c>
      <c r="AN372" s="3" t="s">
        <v>444</v>
      </c>
      <c r="AP372">
        <f t="shared" ref="AP372:AX372" si="49">IF(ISNUMBER(SEARCH(AP$3,$AN372)),1,0)</f>
        <v>0</v>
      </c>
      <c r="AQ372">
        <f t="shared" si="49"/>
        <v>1</v>
      </c>
      <c r="AR372">
        <f t="shared" si="49"/>
        <v>0</v>
      </c>
      <c r="AS372">
        <f t="shared" si="49"/>
        <v>1</v>
      </c>
      <c r="AT372">
        <f t="shared" si="49"/>
        <v>0</v>
      </c>
      <c r="AU372">
        <f t="shared" si="49"/>
        <v>1</v>
      </c>
      <c r="AV372">
        <f t="shared" si="49"/>
        <v>0</v>
      </c>
      <c r="AW372">
        <f t="shared" si="49"/>
        <v>0</v>
      </c>
      <c r="AX372">
        <f t="shared" si="49"/>
        <v>0</v>
      </c>
      <c r="AY372">
        <f>IF(ISNUMBER(SEARCH(AY$3,$AN372)),1,0)</f>
        <v>0</v>
      </c>
      <c r="BA372" s="31">
        <f>S372*COUNTIFS(AP372:AY372,"1",$AP$4:$AY$4,"TRUE")</f>
        <v>0</v>
      </c>
    </row>
    <row r="373" spans="3:53" x14ac:dyDescent="0.25">
      <c r="C373" s="122"/>
      <c r="E373" s="26" t="s">
        <v>266</v>
      </c>
      <c r="F373" s="32"/>
      <c r="G373" s="33" t="s">
        <v>337</v>
      </c>
      <c r="J373" s="76"/>
      <c r="K373" s="76"/>
      <c r="M373" s="3"/>
      <c r="N373" s="1" t="s">
        <v>289</v>
      </c>
    </row>
    <row r="374" spans="3:53" ht="15.75" thickBot="1" x14ac:dyDescent="0.3">
      <c r="C374" s="123"/>
      <c r="J374" s="76"/>
      <c r="K374" s="76"/>
      <c r="M374" s="3"/>
      <c r="N374" s="1" t="s">
        <v>335</v>
      </c>
    </row>
    <row r="375" spans="3:53" ht="15.75" thickBot="1" x14ac:dyDescent="0.3">
      <c r="J375" s="76"/>
      <c r="K375" s="76"/>
      <c r="M375" s="8"/>
      <c r="N375" s="1"/>
    </row>
    <row r="376" spans="3:53" x14ac:dyDescent="0.25">
      <c r="C376" s="118" t="s">
        <v>810</v>
      </c>
      <c r="D376" s="26" t="s">
        <v>781</v>
      </c>
      <c r="E376" s="26" t="s">
        <v>238</v>
      </c>
      <c r="F376" s="39" t="s">
        <v>227</v>
      </c>
      <c r="J376" s="76"/>
      <c r="K376" s="76"/>
      <c r="M376" s="3">
        <v>10</v>
      </c>
      <c r="N376" s="1" t="s">
        <v>225</v>
      </c>
      <c r="O376" s="3">
        <v>2</v>
      </c>
      <c r="P376" s="1" t="s">
        <v>229</v>
      </c>
      <c r="S376" s="27">
        <f>(HLOOKUP(M377,$AR$19:$AU$31,$AO$20,FALSE)+ROUNDUP(M378,0)*(HLOOKUP(M377,$AR$19:$AU$31,$AO$22,FALSE)+HLOOKUP(M377,$AR$19:$AU$31,$AO$24,FALSE)+M376*HLOOKUP(M377,$AR$19:$AU$31,$AO$23,FALSE)+(M376+HLOOKUP(M377,$AR$19:$AU$31,$AO$27,FALSE))*HLOOKUP(M377,$AR$19:$AU$31,$AO$25,FALSE))+(M376+HLOOKUP(M377,$AR$19:$AU$31,$AO$28,FALSE))*IF(M378&gt;0.5,HLOOKUP(M377,$AR$19:$AU$31,$AO$30,FALSE),HLOOKUP(M377,$AR$19:$AU$31,$AO$31,FALSE)))*O376+F379*M379</f>
        <v>53555.152000000002</v>
      </c>
      <c r="U376" s="3" t="s">
        <v>176</v>
      </c>
      <c r="W376" s="45">
        <f>VLOOKUP($U376,'Regional splits'!$B$15:$R$22,W$5,FALSE)</f>
        <v>0</v>
      </c>
      <c r="X376" s="45">
        <f>VLOOKUP($U376,'Regional splits'!$B$15:$R$22,X$5,FALSE)</f>
        <v>0</v>
      </c>
      <c r="Y376" s="45">
        <f>VLOOKUP($U376,'Regional splits'!$B$15:$R$22,Y$5,FALSE)</f>
        <v>0</v>
      </c>
      <c r="Z376" s="45">
        <f>VLOOKUP($U376,'Regional splits'!$B$15:$R$22,Z$5,FALSE)</f>
        <v>0</v>
      </c>
      <c r="AA376" s="45">
        <f>VLOOKUP($U376,'Regional splits'!$B$15:$R$22,AA$5,FALSE)</f>
        <v>0</v>
      </c>
      <c r="AB376" s="45">
        <f>VLOOKUP($U376,'Regional splits'!$B$15:$R$22,AB$5,FALSE)</f>
        <v>0</v>
      </c>
      <c r="AC376" s="45">
        <f>VLOOKUP($U376,'Regional splits'!$B$15:$R$22,AC$5,FALSE)</f>
        <v>0</v>
      </c>
      <c r="AD376" s="45">
        <f>VLOOKUP($U376,'Regional splits'!$B$15:$R$22,AD$5,FALSE)</f>
        <v>0</v>
      </c>
      <c r="AE376" s="45">
        <f>VLOOKUP($U376,'Regional splits'!$B$15:$R$22,AE$5,FALSE)</f>
        <v>0</v>
      </c>
      <c r="AF376" s="45">
        <f>VLOOKUP($U376,'Regional splits'!$B$15:$R$22,AF$5,FALSE)</f>
        <v>0</v>
      </c>
      <c r="AG376" s="45">
        <f>VLOOKUP($U376,'Regional splits'!$B$15:$R$22,AG$5,FALSE)</f>
        <v>0</v>
      </c>
      <c r="AH376" s="45">
        <f>VLOOKUP($U376,'Regional splits'!$B$15:$R$22,AH$5,FALSE)</f>
        <v>0</v>
      </c>
      <c r="AI376" s="45">
        <f>VLOOKUP($U376,'Regional splits'!$B$15:$R$22,AI$5,FALSE)</f>
        <v>0</v>
      </c>
      <c r="AJ376" s="45">
        <f>VLOOKUP($U376,'Regional splits'!$B$15:$R$22,AJ$5,FALSE)</f>
        <v>0</v>
      </c>
      <c r="AK376" s="45">
        <f>VLOOKUP($U376,'Regional splits'!$B$15:$R$22,AK$5,FALSE)</f>
        <v>0</v>
      </c>
      <c r="AL376" s="45">
        <f>VLOOKUP($U376,'Regional splits'!$B$15:$R$22,AL$5,FALSE)</f>
        <v>1</v>
      </c>
      <c r="AN376" s="3" t="s">
        <v>417</v>
      </c>
      <c r="AP376">
        <f t="shared" ref="AP376:AX376" si="50">IF(ISNUMBER(SEARCH(AP$3,$AN376)),1,0)</f>
        <v>0</v>
      </c>
      <c r="AQ376">
        <f t="shared" si="50"/>
        <v>1</v>
      </c>
      <c r="AR376">
        <f t="shared" si="50"/>
        <v>1</v>
      </c>
      <c r="AS376">
        <f t="shared" si="50"/>
        <v>1</v>
      </c>
      <c r="AT376">
        <f t="shared" si="50"/>
        <v>1</v>
      </c>
      <c r="AU376">
        <f t="shared" si="50"/>
        <v>1</v>
      </c>
      <c r="AV376">
        <f t="shared" si="50"/>
        <v>1</v>
      </c>
      <c r="AW376">
        <f t="shared" si="50"/>
        <v>1</v>
      </c>
      <c r="AX376">
        <f t="shared" si="50"/>
        <v>0</v>
      </c>
      <c r="AY376">
        <f>IF(ISNUMBER(SEARCH(AY$3,$AN376)),1,0)</f>
        <v>0</v>
      </c>
      <c r="BA376" s="31">
        <f>S376*COUNTIFS(AP376:AY376,"1",$AP$4:$AY$4,"TRUE")</f>
        <v>374886.06400000001</v>
      </c>
    </row>
    <row r="377" spans="3:53" x14ac:dyDescent="0.25">
      <c r="C377" s="119"/>
      <c r="J377" s="76"/>
      <c r="K377" s="76"/>
      <c r="M377" s="3" t="s">
        <v>50</v>
      </c>
      <c r="N377" s="1" t="s">
        <v>226</v>
      </c>
      <c r="U377" s="26"/>
      <c r="V377" s="26"/>
      <c r="W377" s="84"/>
      <c r="X377" s="84"/>
      <c r="Y377" s="84"/>
      <c r="Z377" s="84"/>
      <c r="AA377" s="84"/>
      <c r="AB377" s="84"/>
      <c r="AC377" s="84"/>
      <c r="AD377" s="84"/>
      <c r="AE377" s="84"/>
      <c r="AF377" s="84"/>
      <c r="AG377" s="84"/>
      <c r="AH377" s="84"/>
      <c r="AI377" s="84"/>
      <c r="AJ377" s="84"/>
      <c r="AK377" s="84"/>
      <c r="AL377" s="84"/>
      <c r="AM377" s="26"/>
      <c r="AN377" s="26"/>
    </row>
    <row r="378" spans="3:53" x14ac:dyDescent="0.25">
      <c r="C378" s="119"/>
      <c r="J378" s="76"/>
      <c r="K378" s="76"/>
      <c r="M378" s="3">
        <v>0.5</v>
      </c>
      <c r="N378" s="1" t="s">
        <v>252</v>
      </c>
      <c r="U378" s="26"/>
      <c r="W378" s="84"/>
      <c r="X378" s="84"/>
      <c r="Y378" s="84"/>
      <c r="Z378" s="84"/>
      <c r="AA378" s="84"/>
      <c r="AB378" s="84"/>
      <c r="AC378" s="84"/>
      <c r="AD378" s="84"/>
      <c r="AE378" s="84"/>
      <c r="AF378" s="84"/>
      <c r="AG378" s="84"/>
      <c r="AH378" s="84"/>
      <c r="AI378" s="84"/>
      <c r="AJ378" s="84"/>
      <c r="AK378" s="84"/>
      <c r="AL378" s="84"/>
      <c r="AM378" s="26"/>
      <c r="AN378" s="26"/>
      <c r="AZ378" s="26"/>
    </row>
    <row r="379" spans="3:53" ht="15.75" thickBot="1" x14ac:dyDescent="0.3">
      <c r="C379" s="120"/>
      <c r="D379" s="26" t="s">
        <v>782</v>
      </c>
      <c r="F379" s="32">
        <v>5000</v>
      </c>
      <c r="G379" s="33"/>
      <c r="J379" s="76"/>
      <c r="K379" s="76"/>
      <c r="M379" s="3">
        <v>5</v>
      </c>
      <c r="N379" s="1" t="s">
        <v>783</v>
      </c>
      <c r="S379"/>
      <c r="W379" s="84"/>
      <c r="X379" s="84"/>
      <c r="Y379" s="84"/>
      <c r="Z379" s="84"/>
      <c r="AA379" s="84"/>
      <c r="AB379" s="84"/>
      <c r="AC379" s="84"/>
      <c r="AD379" s="84"/>
      <c r="AE379" s="84"/>
      <c r="AF379" s="84"/>
      <c r="AG379" s="84"/>
      <c r="AH379" s="84"/>
      <c r="AI379" s="84"/>
      <c r="AJ379" s="84"/>
      <c r="AK379" s="84"/>
      <c r="AL379" s="84"/>
      <c r="BA379"/>
    </row>
    <row r="380" spans="3:53" ht="15.75" thickBot="1" x14ac:dyDescent="0.3">
      <c r="C380" s="53"/>
      <c r="F380" s="33"/>
      <c r="G380" s="33"/>
      <c r="J380" s="76"/>
      <c r="K380" s="76"/>
    </row>
    <row r="381" spans="3:53" ht="45.75" customHeight="1" x14ac:dyDescent="0.25">
      <c r="C381" s="118" t="s">
        <v>809</v>
      </c>
      <c r="D381" s="26" t="s">
        <v>781</v>
      </c>
      <c r="E381" s="26" t="s">
        <v>238</v>
      </c>
      <c r="F381" s="39" t="s">
        <v>227</v>
      </c>
      <c r="J381" s="76"/>
      <c r="K381" s="76"/>
      <c r="M381" s="3">
        <v>5</v>
      </c>
      <c r="N381" s="1" t="s">
        <v>225</v>
      </c>
      <c r="O381" s="3">
        <v>1</v>
      </c>
      <c r="P381" s="1" t="s">
        <v>229</v>
      </c>
      <c r="S381" s="27">
        <f>(HLOOKUP(M382,$AR$19:$AU$31,$AO$20,FALSE)+ROUNDUP(M383,0)*(HLOOKUP(M382,$AR$19:$AU$31,$AO$22,FALSE)+HLOOKUP(M382,$AR$19:$AU$31,$AO$24,FALSE)+M381*HLOOKUP(M382,$AR$19:$AU$31,$AO$23,FALSE)+(M381+HLOOKUP(M382,$AR$19:$AU$31,$AO$27,FALSE))*HLOOKUP(M382,$AR$19:$AU$31,$AO$25,FALSE))+(M381+HLOOKUP(M382,$AR$19:$AU$31,$AO$28,FALSE))*IF(M383&gt;0.5,HLOOKUP(M382,$AR$19:$AU$31,$AO$30,FALSE),HLOOKUP(M382,$AR$19:$AU$31,$AO$31,FALSE)))*O381</f>
        <v>15716.743999999999</v>
      </c>
      <c r="U381" s="3" t="s">
        <v>176</v>
      </c>
      <c r="W381" s="45">
        <f>VLOOKUP($U381,'Regional splits'!$B$15:$R$22,W$5,FALSE)</f>
        <v>0</v>
      </c>
      <c r="X381" s="45">
        <f>VLOOKUP($U381,'Regional splits'!$B$15:$R$22,X$5,FALSE)</f>
        <v>0</v>
      </c>
      <c r="Y381" s="45">
        <f>VLOOKUP($U381,'Regional splits'!$B$15:$R$22,Y$5,FALSE)</f>
        <v>0</v>
      </c>
      <c r="Z381" s="45">
        <f>VLOOKUP($U381,'Regional splits'!$B$15:$R$22,Z$5,FALSE)</f>
        <v>0</v>
      </c>
      <c r="AA381" s="45">
        <f>VLOOKUP($U381,'Regional splits'!$B$15:$R$22,AA$5,FALSE)</f>
        <v>0</v>
      </c>
      <c r="AB381" s="45">
        <f>VLOOKUP($U381,'Regional splits'!$B$15:$R$22,AB$5,FALSE)</f>
        <v>0</v>
      </c>
      <c r="AC381" s="45">
        <f>VLOOKUP($U381,'Regional splits'!$B$15:$R$22,AC$5,FALSE)</f>
        <v>0</v>
      </c>
      <c r="AD381" s="45">
        <f>VLOOKUP($U381,'Regional splits'!$B$15:$R$22,AD$5,FALSE)</f>
        <v>0</v>
      </c>
      <c r="AE381" s="45">
        <f>VLOOKUP($U381,'Regional splits'!$B$15:$R$22,AE$5,FALSE)</f>
        <v>0</v>
      </c>
      <c r="AF381" s="45">
        <f>VLOOKUP($U381,'Regional splits'!$B$15:$R$22,AF$5,FALSE)</f>
        <v>0</v>
      </c>
      <c r="AG381" s="45">
        <f>VLOOKUP($U381,'Regional splits'!$B$15:$R$22,AG$5,FALSE)</f>
        <v>0</v>
      </c>
      <c r="AH381" s="45">
        <f>VLOOKUP($U381,'Regional splits'!$B$15:$R$22,AH$5,FALSE)</f>
        <v>0</v>
      </c>
      <c r="AI381" s="45">
        <f>VLOOKUP($U381,'Regional splits'!$B$15:$R$22,AI$5,FALSE)</f>
        <v>0</v>
      </c>
      <c r="AJ381" s="45">
        <f>VLOOKUP($U381,'Regional splits'!$B$15:$R$22,AJ$5,FALSE)</f>
        <v>0</v>
      </c>
      <c r="AK381" s="45">
        <f>VLOOKUP($U381,'Regional splits'!$B$15:$R$22,AK$5,FALSE)</f>
        <v>0</v>
      </c>
      <c r="AL381" s="45">
        <f>VLOOKUP($U381,'Regional splits'!$B$15:$R$22,AL$5,FALSE)</f>
        <v>1</v>
      </c>
      <c r="AN381" s="3">
        <v>2014</v>
      </c>
      <c r="AP381">
        <f t="shared" ref="AP381:AX381" si="51">IF(ISNUMBER(SEARCH(AP$3,$AN381)),1,0)</f>
        <v>0</v>
      </c>
      <c r="AQ381">
        <f t="shared" si="51"/>
        <v>1</v>
      </c>
      <c r="AR381">
        <f t="shared" si="51"/>
        <v>0</v>
      </c>
      <c r="AS381">
        <f t="shared" si="51"/>
        <v>0</v>
      </c>
      <c r="AT381">
        <f t="shared" si="51"/>
        <v>0</v>
      </c>
      <c r="AU381">
        <f t="shared" si="51"/>
        <v>0</v>
      </c>
      <c r="AV381">
        <f t="shared" si="51"/>
        <v>0</v>
      </c>
      <c r="AW381">
        <f t="shared" si="51"/>
        <v>0</v>
      </c>
      <c r="AX381">
        <f t="shared" si="51"/>
        <v>0</v>
      </c>
      <c r="AY381">
        <f>IF(ISNUMBER(SEARCH(AY$3,$AN381)),1,0)</f>
        <v>0</v>
      </c>
      <c r="BA381" s="31">
        <f>S381*COUNTIFS(AP381:AY381,"1",$AP$4:$AY$4,"TRUE")</f>
        <v>15716.743999999999</v>
      </c>
    </row>
    <row r="382" spans="3:53" x14ac:dyDescent="0.25">
      <c r="C382" s="119"/>
      <c r="J382" s="76"/>
      <c r="K382" s="76"/>
      <c r="M382" s="3" t="s">
        <v>47</v>
      </c>
      <c r="N382" s="1" t="s">
        <v>226</v>
      </c>
      <c r="T382" s="26"/>
      <c r="U382" s="26"/>
      <c r="V382" s="26"/>
      <c r="W382" s="84"/>
      <c r="X382" s="84"/>
      <c r="Y382" s="84"/>
      <c r="Z382" s="84"/>
      <c r="AA382" s="84"/>
      <c r="AB382" s="84"/>
      <c r="AC382" s="84"/>
      <c r="AD382" s="84"/>
      <c r="AE382" s="84"/>
      <c r="AF382" s="84"/>
      <c r="AG382" s="84"/>
      <c r="AH382" s="84"/>
      <c r="AI382" s="84"/>
      <c r="AJ382" s="84"/>
      <c r="AK382" s="84"/>
      <c r="AL382" s="84"/>
      <c r="AM382" s="26"/>
      <c r="AN382" s="26"/>
      <c r="AO382" s="26"/>
      <c r="AZ382" s="26"/>
    </row>
    <row r="383" spans="3:53" ht="15.75" thickBot="1" x14ac:dyDescent="0.3">
      <c r="C383" s="120"/>
      <c r="J383" s="76"/>
      <c r="K383" s="76"/>
      <c r="M383" s="3">
        <v>0.5</v>
      </c>
      <c r="N383" s="1" t="s">
        <v>252</v>
      </c>
      <c r="T383" s="26"/>
      <c r="U383" s="26"/>
      <c r="V383" s="26"/>
      <c r="W383" s="84"/>
      <c r="X383" s="84"/>
      <c r="Y383" s="84"/>
      <c r="Z383" s="84"/>
      <c r="AA383" s="84"/>
      <c r="AB383" s="84"/>
      <c r="AC383" s="84"/>
      <c r="AD383" s="84"/>
      <c r="AE383" s="84"/>
      <c r="AF383" s="84"/>
      <c r="AG383" s="84"/>
      <c r="AH383" s="84"/>
      <c r="AI383" s="84"/>
      <c r="AJ383" s="84"/>
      <c r="AK383" s="84"/>
      <c r="AL383" s="84"/>
      <c r="AM383" s="26"/>
      <c r="AN383" s="26"/>
      <c r="AO383" s="26"/>
      <c r="AZ383" s="26"/>
    </row>
    <row r="384" spans="3:53" ht="15.75" thickBot="1" x14ac:dyDescent="0.3">
      <c r="C384" s="53"/>
      <c r="F384" s="33"/>
      <c r="G384" s="33"/>
      <c r="J384" s="76"/>
      <c r="K384" s="76"/>
    </row>
    <row r="385" spans="3:53" ht="30.75" thickBot="1" x14ac:dyDescent="0.3">
      <c r="C385" s="52" t="s">
        <v>458</v>
      </c>
      <c r="D385" s="26" t="s">
        <v>454</v>
      </c>
      <c r="E385" s="26" t="s">
        <v>454</v>
      </c>
      <c r="F385" s="32"/>
      <c r="G385" s="33" t="s">
        <v>455</v>
      </c>
      <c r="J385" s="76"/>
      <c r="K385" s="76"/>
      <c r="M385" s="3"/>
      <c r="N385" s="1" t="s">
        <v>455</v>
      </c>
      <c r="S385" s="27">
        <f>F385*M385</f>
        <v>0</v>
      </c>
      <c r="U385" s="3"/>
      <c r="W385" s="45" t="e">
        <f>VLOOKUP($U385,'Regional splits'!$B$15:$R$22,W$5,FALSE)</f>
        <v>#N/A</v>
      </c>
      <c r="X385" s="45" t="e">
        <f>VLOOKUP($U385,'Regional splits'!$B$15:$R$22,X$5,FALSE)</f>
        <v>#N/A</v>
      </c>
      <c r="Y385" s="45" t="e">
        <f>VLOOKUP($U385,'Regional splits'!$B$15:$R$22,Y$5,FALSE)</f>
        <v>#N/A</v>
      </c>
      <c r="Z385" s="45" t="e">
        <f>VLOOKUP($U385,'Regional splits'!$B$15:$R$22,Z$5,FALSE)</f>
        <v>#N/A</v>
      </c>
      <c r="AA385" s="45" t="e">
        <f>VLOOKUP($U385,'Regional splits'!$B$15:$R$22,AA$5,FALSE)</f>
        <v>#N/A</v>
      </c>
      <c r="AB385" s="45" t="e">
        <f>VLOOKUP($U385,'Regional splits'!$B$15:$R$22,AB$5,FALSE)</f>
        <v>#N/A</v>
      </c>
      <c r="AC385" s="45" t="e">
        <f>VLOOKUP($U385,'Regional splits'!$B$15:$R$22,AC$5,FALSE)</f>
        <v>#N/A</v>
      </c>
      <c r="AD385" s="45" t="e">
        <f>VLOOKUP($U385,'Regional splits'!$B$15:$R$22,AD$5,FALSE)</f>
        <v>#N/A</v>
      </c>
      <c r="AE385" s="45" t="e">
        <f>VLOOKUP($U385,'Regional splits'!$B$15:$R$22,AE$5,FALSE)</f>
        <v>#N/A</v>
      </c>
      <c r="AF385" s="45" t="e">
        <f>VLOOKUP($U385,'Regional splits'!$B$15:$R$22,AF$5,FALSE)</f>
        <v>#N/A</v>
      </c>
      <c r="AG385" s="45" t="e">
        <f>VLOOKUP($U385,'Regional splits'!$B$15:$R$22,AG$5,FALSE)</f>
        <v>#N/A</v>
      </c>
      <c r="AH385" s="45" t="e">
        <f>VLOOKUP($U385,'Regional splits'!$B$15:$R$22,AH$5,FALSE)</f>
        <v>#N/A</v>
      </c>
      <c r="AI385" s="45" t="e">
        <f>VLOOKUP($U385,'Regional splits'!$B$15:$R$22,AI$5,FALSE)</f>
        <v>#N/A</v>
      </c>
      <c r="AJ385" s="45" t="e">
        <f>VLOOKUP($U385,'Regional splits'!$B$15:$R$22,AJ$5,FALSE)</f>
        <v>#N/A</v>
      </c>
      <c r="AK385" s="45" t="e">
        <f>VLOOKUP($U385,'Regional splits'!$B$15:$R$22,AK$5,FALSE)</f>
        <v>#N/A</v>
      </c>
      <c r="AL385" s="45" t="e">
        <f>VLOOKUP($U385,'Regional splits'!$B$15:$R$22,AL$5,FALSE)</f>
        <v>#N/A</v>
      </c>
      <c r="AN385" s="3" t="s">
        <v>444</v>
      </c>
      <c r="AP385">
        <f t="shared" ref="AP385:AX385" si="52">IF(ISNUMBER(SEARCH(AP$3,$AN385)),1,0)</f>
        <v>0</v>
      </c>
      <c r="AQ385">
        <f t="shared" si="52"/>
        <v>1</v>
      </c>
      <c r="AR385">
        <f t="shared" si="52"/>
        <v>0</v>
      </c>
      <c r="AS385">
        <f t="shared" si="52"/>
        <v>1</v>
      </c>
      <c r="AT385">
        <f t="shared" si="52"/>
        <v>0</v>
      </c>
      <c r="AU385">
        <f t="shared" si="52"/>
        <v>1</v>
      </c>
      <c r="AV385">
        <f t="shared" si="52"/>
        <v>0</v>
      </c>
      <c r="AW385">
        <f t="shared" si="52"/>
        <v>0</v>
      </c>
      <c r="AX385">
        <f t="shared" si="52"/>
        <v>0</v>
      </c>
      <c r="AY385">
        <f>IF(ISNUMBER(SEARCH(AY$3,$AN385)),1,0)</f>
        <v>0</v>
      </c>
      <c r="BA385" s="31">
        <f>S385*COUNTIFS(AP385:AY385,"1",$AP$4:$AY$4,"TRUE")</f>
        <v>0</v>
      </c>
    </row>
    <row r="386" spans="3:53" x14ac:dyDescent="0.25">
      <c r="F386" s="33"/>
      <c r="G386" s="33"/>
      <c r="J386" s="76"/>
      <c r="K386" s="76"/>
    </row>
    <row r="387" spans="3:53" s="8" customFormat="1" ht="18" thickBot="1" x14ac:dyDescent="0.35">
      <c r="C387" s="11" t="s">
        <v>264</v>
      </c>
      <c r="D387" s="29"/>
      <c r="E387" s="29"/>
      <c r="F387" s="29"/>
      <c r="G387" s="29"/>
      <c r="H387" s="29"/>
      <c r="I387" s="29"/>
      <c r="J387" s="76"/>
      <c r="K387" s="76"/>
      <c r="S387" s="29"/>
      <c r="V387"/>
      <c r="W387" s="57"/>
      <c r="X387" s="57"/>
      <c r="Y387" s="57"/>
      <c r="Z387" s="57"/>
      <c r="AA387" s="57"/>
      <c r="AB387" s="57"/>
      <c r="AC387" s="57"/>
      <c r="AD387" s="57"/>
      <c r="AE387" s="57"/>
      <c r="AF387" s="57"/>
      <c r="AG387" s="57"/>
      <c r="AH387" s="57"/>
      <c r="AI387" s="57"/>
      <c r="AJ387" s="57"/>
      <c r="AK387" s="57"/>
      <c r="AL387" s="57"/>
      <c r="BA387" s="29"/>
    </row>
    <row r="388" spans="3:53" ht="16.5" thickTop="1" thickBot="1" x14ac:dyDescent="0.3">
      <c r="J388" s="76"/>
      <c r="K388" s="76"/>
    </row>
    <row r="389" spans="3:53" x14ac:dyDescent="0.25">
      <c r="C389" s="121" t="s">
        <v>626</v>
      </c>
      <c r="D389" s="26" t="s">
        <v>265</v>
      </c>
      <c r="E389" s="26" t="s">
        <v>238</v>
      </c>
      <c r="F389" s="39" t="s">
        <v>227</v>
      </c>
      <c r="J389" s="76"/>
      <c r="K389" s="76"/>
      <c r="M389" s="3">
        <v>50</v>
      </c>
      <c r="N389" s="1" t="s">
        <v>225</v>
      </c>
      <c r="O389" s="3">
        <v>1</v>
      </c>
      <c r="P389" s="1" t="s">
        <v>229</v>
      </c>
      <c r="S389" s="27">
        <f>(HLOOKUP(M390,$AR$19:$AU$31,$AO$20,FALSE)+ROUNDUP(M391,0)*(HLOOKUP(M390,$AR$19:$AU$31,$AO$22,FALSE)+HLOOKUP(M390,$AR$19:$AU$31,$AO$24,FALSE)+M389*HLOOKUP(M390,$AR$19:$AU$31,$AO$23,FALSE)+(M389+HLOOKUP(M390,$AR$19:$AU$31,$AO$27,FALSE))*HLOOKUP(M390,$AR$19:$AU$31,$AO$25,FALSE))+(M389+HLOOKUP(M390,$AR$19:$AU$31,$AO$28,FALSE))*IF(M391&gt;0.5,HLOOKUP(M390,$AR$19:$AU$31,$AO$30,FALSE),HLOOKUP(M390,$AR$19:$AU$31,$AO$31,FALSE)))*O389</f>
        <v>53829.244000000006</v>
      </c>
      <c r="U389" s="3" t="s">
        <v>176</v>
      </c>
      <c r="W389" s="45">
        <f>VLOOKUP($U389,'Regional splits'!$B$15:$R$22,W$5,FALSE)</f>
        <v>0</v>
      </c>
      <c r="X389" s="45">
        <f>VLOOKUP($U389,'Regional splits'!$B$15:$R$22,X$5,FALSE)</f>
        <v>0</v>
      </c>
      <c r="Y389" s="45">
        <f>VLOOKUP($U389,'Regional splits'!$B$15:$R$22,Y$5,FALSE)</f>
        <v>0</v>
      </c>
      <c r="Z389" s="45">
        <f>VLOOKUP($U389,'Regional splits'!$B$15:$R$22,Z$5,FALSE)</f>
        <v>0</v>
      </c>
      <c r="AA389" s="45">
        <f>VLOOKUP($U389,'Regional splits'!$B$15:$R$22,AA$5,FALSE)</f>
        <v>0</v>
      </c>
      <c r="AB389" s="45">
        <f>VLOOKUP($U389,'Regional splits'!$B$15:$R$22,AB$5,FALSE)</f>
        <v>0</v>
      </c>
      <c r="AC389" s="45">
        <f>VLOOKUP($U389,'Regional splits'!$B$15:$R$22,AC$5,FALSE)</f>
        <v>0</v>
      </c>
      <c r="AD389" s="45">
        <f>VLOOKUP($U389,'Regional splits'!$B$15:$R$22,AD$5,FALSE)</f>
        <v>0</v>
      </c>
      <c r="AE389" s="45">
        <f>VLOOKUP($U389,'Regional splits'!$B$15:$R$22,AE$5,FALSE)</f>
        <v>0</v>
      </c>
      <c r="AF389" s="45">
        <f>VLOOKUP($U389,'Regional splits'!$B$15:$R$22,AF$5,FALSE)</f>
        <v>0</v>
      </c>
      <c r="AG389" s="45">
        <f>VLOOKUP($U389,'Regional splits'!$B$15:$R$22,AG$5,FALSE)</f>
        <v>0</v>
      </c>
      <c r="AH389" s="45">
        <f>VLOOKUP($U389,'Regional splits'!$B$15:$R$22,AH$5,FALSE)</f>
        <v>0</v>
      </c>
      <c r="AI389" s="45">
        <f>VLOOKUP($U389,'Regional splits'!$B$15:$R$22,AI$5,FALSE)</f>
        <v>0</v>
      </c>
      <c r="AJ389" s="45">
        <f>VLOOKUP($U389,'Regional splits'!$B$15:$R$22,AJ$5,FALSE)</f>
        <v>0</v>
      </c>
      <c r="AK389" s="45">
        <f>VLOOKUP($U389,'Regional splits'!$B$15:$R$22,AK$5,FALSE)</f>
        <v>0</v>
      </c>
      <c r="AL389" s="45">
        <f>VLOOKUP($U389,'Regional splits'!$B$15:$R$22,AL$5,FALSE)</f>
        <v>1</v>
      </c>
      <c r="AN389" s="3" t="s">
        <v>547</v>
      </c>
      <c r="AP389">
        <f t="shared" ref="AP389:AX389" si="53">IF(ISNUMBER(SEARCH(AP$3,$AN389)),1,0)</f>
        <v>0</v>
      </c>
      <c r="AQ389">
        <f t="shared" si="53"/>
        <v>1</v>
      </c>
      <c r="AR389">
        <f t="shared" si="53"/>
        <v>0</v>
      </c>
      <c r="AS389">
        <f t="shared" si="53"/>
        <v>1</v>
      </c>
      <c r="AT389">
        <f t="shared" si="53"/>
        <v>0</v>
      </c>
      <c r="AU389">
        <f t="shared" si="53"/>
        <v>1</v>
      </c>
      <c r="AV389">
        <f t="shared" si="53"/>
        <v>0</v>
      </c>
      <c r="AW389">
        <f t="shared" si="53"/>
        <v>1</v>
      </c>
      <c r="AX389">
        <f t="shared" si="53"/>
        <v>0</v>
      </c>
      <c r="AY389">
        <f>IF(ISNUMBER(SEARCH(AY$3,$AN389)),1,0)</f>
        <v>0</v>
      </c>
      <c r="BA389" s="31">
        <f>S389*COUNTIFS(AP389:AY389,"1",$AP$4:$AY$4,"TRUE")</f>
        <v>215316.97600000002</v>
      </c>
    </row>
    <row r="390" spans="3:53" x14ac:dyDescent="0.25">
      <c r="C390" s="122"/>
      <c r="J390" s="76"/>
      <c r="K390" s="76"/>
      <c r="M390" s="3" t="s">
        <v>47</v>
      </c>
      <c r="N390" s="1" t="s">
        <v>226</v>
      </c>
    </row>
    <row r="391" spans="3:53" ht="15.75" thickBot="1" x14ac:dyDescent="0.3">
      <c r="C391" s="123"/>
      <c r="J391" s="76"/>
      <c r="K391" s="76"/>
      <c r="M391" s="3">
        <v>1</v>
      </c>
      <c r="N391" s="1" t="s">
        <v>252</v>
      </c>
    </row>
    <row r="392" spans="3:53" ht="15.75" thickBot="1" x14ac:dyDescent="0.3">
      <c r="J392" s="76"/>
      <c r="K392" s="76"/>
    </row>
    <row r="393" spans="3:53" x14ac:dyDescent="0.25">
      <c r="C393" s="118" t="s">
        <v>627</v>
      </c>
      <c r="D393" s="26" t="s">
        <v>628</v>
      </c>
      <c r="E393" s="26" t="s">
        <v>238</v>
      </c>
      <c r="F393" s="39" t="s">
        <v>227</v>
      </c>
      <c r="J393" s="76"/>
      <c r="K393" s="76"/>
      <c r="M393" s="3">
        <v>100</v>
      </c>
      <c r="N393" s="1" t="s">
        <v>225</v>
      </c>
      <c r="O393" s="3">
        <v>1</v>
      </c>
      <c r="P393" s="1" t="s">
        <v>229</v>
      </c>
      <c r="S393" s="27">
        <f>(HLOOKUP(M394,$AR$19:$AU$31,$AO$20,FALSE)+ROUNDUP(M395,0)*(HLOOKUP(M394,$AR$19:$AU$31,$AO$22,FALSE)+HLOOKUP(M394,$AR$19:$AU$31,$AO$24,FALSE)+M393*HLOOKUP(M394,$AR$19:$AU$31,$AO$23,FALSE)+(M393+HLOOKUP(M394,$AR$19:$AU$31,$AO$27,FALSE))*HLOOKUP(M394,$AR$19:$AU$31,$AO$25,FALSE))+(M393+HLOOKUP(M394,$AR$19:$AU$31,$AO$28,FALSE))*IF(M395&gt;0.5,HLOOKUP(M394,$AR$19:$AU$31,$AO$30,FALSE),HLOOKUP(M394,$AR$19:$AU$31,$AO$31,FALSE)))*O393</f>
        <v>95454.244000000006</v>
      </c>
      <c r="U393" s="3" t="s">
        <v>176</v>
      </c>
      <c r="W393" s="45">
        <f>VLOOKUP($U393,'Regional splits'!$B$15:$R$22,W$5,FALSE)</f>
        <v>0</v>
      </c>
      <c r="X393" s="45">
        <f>VLOOKUP($U393,'Regional splits'!$B$15:$R$22,X$5,FALSE)</f>
        <v>0</v>
      </c>
      <c r="Y393" s="45">
        <f>VLOOKUP($U393,'Regional splits'!$B$15:$R$22,Y$5,FALSE)</f>
        <v>0</v>
      </c>
      <c r="Z393" s="45">
        <f>VLOOKUP($U393,'Regional splits'!$B$15:$R$22,Z$5,FALSE)</f>
        <v>0</v>
      </c>
      <c r="AA393" s="45">
        <f>VLOOKUP($U393,'Regional splits'!$B$15:$R$22,AA$5,FALSE)</f>
        <v>0</v>
      </c>
      <c r="AB393" s="45">
        <f>VLOOKUP($U393,'Regional splits'!$B$15:$R$22,AB$5,FALSE)</f>
        <v>0</v>
      </c>
      <c r="AC393" s="45">
        <f>VLOOKUP($U393,'Regional splits'!$B$15:$R$22,AC$5,FALSE)</f>
        <v>0</v>
      </c>
      <c r="AD393" s="45">
        <f>VLOOKUP($U393,'Regional splits'!$B$15:$R$22,AD$5,FALSE)</f>
        <v>0</v>
      </c>
      <c r="AE393" s="45">
        <f>VLOOKUP($U393,'Regional splits'!$B$15:$R$22,AE$5,FALSE)</f>
        <v>0</v>
      </c>
      <c r="AF393" s="45">
        <f>VLOOKUP($U393,'Regional splits'!$B$15:$R$22,AF$5,FALSE)</f>
        <v>0</v>
      </c>
      <c r="AG393" s="45">
        <f>VLOOKUP($U393,'Regional splits'!$B$15:$R$22,AG$5,FALSE)</f>
        <v>0</v>
      </c>
      <c r="AH393" s="45">
        <f>VLOOKUP($U393,'Regional splits'!$B$15:$R$22,AH$5,FALSE)</f>
        <v>0</v>
      </c>
      <c r="AI393" s="45">
        <f>VLOOKUP($U393,'Regional splits'!$B$15:$R$22,AI$5,FALSE)</f>
        <v>0</v>
      </c>
      <c r="AJ393" s="45">
        <f>VLOOKUP($U393,'Regional splits'!$B$15:$R$22,AJ$5,FALSE)</f>
        <v>0</v>
      </c>
      <c r="AK393" s="45">
        <f>VLOOKUP($U393,'Regional splits'!$B$15:$R$22,AK$5,FALSE)</f>
        <v>0</v>
      </c>
      <c r="AL393" s="45">
        <f>VLOOKUP($U393,'Regional splits'!$B$15:$R$22,AL$5,FALSE)</f>
        <v>1</v>
      </c>
      <c r="AN393" s="3">
        <v>2013</v>
      </c>
      <c r="AP393">
        <f t="shared" ref="AP393:AX393" si="54">IF(ISNUMBER(SEARCH(AP$3,$AN393)),1,0)</f>
        <v>1</v>
      </c>
      <c r="AQ393">
        <f t="shared" si="54"/>
        <v>0</v>
      </c>
      <c r="AR393">
        <f t="shared" si="54"/>
        <v>0</v>
      </c>
      <c r="AS393">
        <f t="shared" si="54"/>
        <v>0</v>
      </c>
      <c r="AT393">
        <f t="shared" si="54"/>
        <v>0</v>
      </c>
      <c r="AU393">
        <f t="shared" si="54"/>
        <v>0</v>
      </c>
      <c r="AV393">
        <f t="shared" si="54"/>
        <v>0</v>
      </c>
      <c r="AW393">
        <f t="shared" si="54"/>
        <v>0</v>
      </c>
      <c r="AX393">
        <f t="shared" si="54"/>
        <v>0</v>
      </c>
      <c r="AY393">
        <f>IF(ISNUMBER(SEARCH(AY$3,$AN393)),1,0)</f>
        <v>0</v>
      </c>
      <c r="BA393" s="31">
        <f>S393*COUNTIFS(AP393:AY393,"1",$AP$4:$AY$4,"TRUE")</f>
        <v>95454.244000000006</v>
      </c>
    </row>
    <row r="394" spans="3:53" x14ac:dyDescent="0.25">
      <c r="C394" s="119"/>
      <c r="J394" s="76"/>
      <c r="K394" s="76"/>
      <c r="M394" s="3" t="s">
        <v>47</v>
      </c>
      <c r="N394" s="1" t="s">
        <v>226</v>
      </c>
      <c r="W394" s="84"/>
      <c r="X394" s="84"/>
      <c r="Y394" s="84"/>
      <c r="Z394" s="84"/>
      <c r="AA394" s="84"/>
      <c r="AB394" s="84"/>
      <c r="AC394" s="84"/>
      <c r="AD394" s="84"/>
      <c r="AE394" s="84"/>
      <c r="AF394" s="84"/>
      <c r="AG394" s="84"/>
      <c r="AH394" s="84"/>
      <c r="AI394" s="84"/>
      <c r="AJ394" s="84"/>
      <c r="AK394" s="84"/>
      <c r="AL394" s="84"/>
      <c r="BA394"/>
    </row>
    <row r="395" spans="3:53" ht="15.75" thickBot="1" x14ac:dyDescent="0.3">
      <c r="C395" s="120"/>
      <c r="J395" s="76"/>
      <c r="K395" s="76"/>
      <c r="M395" s="3">
        <v>1</v>
      </c>
      <c r="N395" s="1" t="s">
        <v>252</v>
      </c>
      <c r="W395" s="84"/>
      <c r="X395" s="84"/>
      <c r="Y395" s="84"/>
      <c r="Z395" s="84"/>
      <c r="AA395" s="84"/>
      <c r="AB395" s="84"/>
      <c r="AC395" s="84"/>
      <c r="AD395" s="84"/>
      <c r="AE395" s="84"/>
      <c r="AF395" s="84"/>
      <c r="AG395" s="84"/>
      <c r="AH395" s="84"/>
      <c r="AI395" s="84"/>
      <c r="AJ395" s="84"/>
      <c r="AK395" s="84"/>
      <c r="AL395" s="84"/>
      <c r="BA395"/>
    </row>
    <row r="396" spans="3:53" x14ac:dyDescent="0.25">
      <c r="F396" s="33"/>
      <c r="G396" s="33"/>
      <c r="J396" s="76"/>
      <c r="K396" s="76"/>
    </row>
    <row r="397" spans="3:53" ht="15.75" hidden="1" thickBot="1" x14ac:dyDescent="0.3">
      <c r="C397" s="24" t="s">
        <v>459</v>
      </c>
      <c r="D397" s="26" t="s">
        <v>454</v>
      </c>
      <c r="E397" s="26" t="s">
        <v>454</v>
      </c>
      <c r="F397" s="32"/>
      <c r="G397" s="33" t="s">
        <v>455</v>
      </c>
      <c r="J397" s="76"/>
      <c r="K397" s="76"/>
      <c r="M397" s="3"/>
      <c r="N397" s="1" t="s">
        <v>455</v>
      </c>
      <c r="S397" s="27">
        <f>F397*M397</f>
        <v>0</v>
      </c>
      <c r="U397" s="3"/>
      <c r="W397" s="45" t="e">
        <f>VLOOKUP($U397,'Regional splits'!$B$15:$R$22,W$5,FALSE)</f>
        <v>#N/A</v>
      </c>
      <c r="X397" s="45" t="e">
        <f>VLOOKUP($U397,'Regional splits'!$B$15:$R$22,X$5,FALSE)</f>
        <v>#N/A</v>
      </c>
      <c r="Y397" s="45" t="e">
        <f>VLOOKUP($U397,'Regional splits'!$B$15:$R$22,Y$5,FALSE)</f>
        <v>#N/A</v>
      </c>
      <c r="Z397" s="45" t="e">
        <f>VLOOKUP($U397,'Regional splits'!$B$15:$R$22,Z$5,FALSE)</f>
        <v>#N/A</v>
      </c>
      <c r="AA397" s="45" t="e">
        <f>VLOOKUP($U397,'Regional splits'!$B$15:$R$22,AA$5,FALSE)</f>
        <v>#N/A</v>
      </c>
      <c r="AB397" s="45" t="e">
        <f>VLOOKUP($U397,'Regional splits'!$B$15:$R$22,AB$5,FALSE)</f>
        <v>#N/A</v>
      </c>
      <c r="AC397" s="45" t="e">
        <f>VLOOKUP($U397,'Regional splits'!$B$15:$R$22,AC$5,FALSE)</f>
        <v>#N/A</v>
      </c>
      <c r="AD397" s="45" t="e">
        <f>VLOOKUP($U397,'Regional splits'!$B$15:$R$22,AD$5,FALSE)</f>
        <v>#N/A</v>
      </c>
      <c r="AE397" s="45" t="e">
        <f>VLOOKUP($U397,'Regional splits'!$B$15:$R$22,AE$5,FALSE)</f>
        <v>#N/A</v>
      </c>
      <c r="AF397" s="45" t="e">
        <f>VLOOKUP($U397,'Regional splits'!$B$15:$R$22,AF$5,FALSE)</f>
        <v>#N/A</v>
      </c>
      <c r="AG397" s="45" t="e">
        <f>VLOOKUP($U397,'Regional splits'!$B$15:$R$22,AG$5,FALSE)</f>
        <v>#N/A</v>
      </c>
      <c r="AH397" s="45" t="e">
        <f>VLOOKUP($U397,'Regional splits'!$B$15:$R$22,AH$5,FALSE)</f>
        <v>#N/A</v>
      </c>
      <c r="AI397" s="45" t="e">
        <f>VLOOKUP($U397,'Regional splits'!$B$15:$R$22,AI$5,FALSE)</f>
        <v>#N/A</v>
      </c>
      <c r="AJ397" s="45" t="e">
        <f>VLOOKUP($U397,'Regional splits'!$B$15:$R$22,AJ$5,FALSE)</f>
        <v>#N/A</v>
      </c>
      <c r="AK397" s="45" t="e">
        <f>VLOOKUP($U397,'Regional splits'!$B$15:$R$22,AK$5,FALSE)</f>
        <v>#N/A</v>
      </c>
      <c r="AL397" s="45" t="e">
        <f>VLOOKUP($U397,'Regional splits'!$B$15:$R$22,AL$5,FALSE)</f>
        <v>#N/A</v>
      </c>
      <c r="AN397" s="3" t="s">
        <v>444</v>
      </c>
      <c r="AP397">
        <f t="shared" ref="AP397:AX397" si="55">IF(ISNUMBER(SEARCH(AP$3,$AN397)),1,0)</f>
        <v>0</v>
      </c>
      <c r="AQ397">
        <f t="shared" si="55"/>
        <v>1</v>
      </c>
      <c r="AR397">
        <f t="shared" si="55"/>
        <v>0</v>
      </c>
      <c r="AS397">
        <f t="shared" si="55"/>
        <v>1</v>
      </c>
      <c r="AT397">
        <f t="shared" si="55"/>
        <v>0</v>
      </c>
      <c r="AU397">
        <f t="shared" si="55"/>
        <v>1</v>
      </c>
      <c r="AV397">
        <f t="shared" si="55"/>
        <v>0</v>
      </c>
      <c r="AW397">
        <f t="shared" si="55"/>
        <v>0</v>
      </c>
      <c r="AX397">
        <f t="shared" si="55"/>
        <v>0</v>
      </c>
      <c r="AY397">
        <f>IF(ISNUMBER(SEARCH(AY$3,$AN397)),1,0)</f>
        <v>0</v>
      </c>
      <c r="BA397" s="31">
        <f>S397*COUNTIFS(AP397:AY397,"1",$AP$4:$AY$4,"TRUE")</f>
        <v>0</v>
      </c>
    </row>
    <row r="398" spans="3:53" hidden="1" x14ac:dyDescent="0.25">
      <c r="F398" s="33"/>
      <c r="G398" s="33"/>
      <c r="J398" s="76"/>
      <c r="K398" s="76"/>
    </row>
    <row r="399" spans="3:53" ht="15.75" hidden="1" thickBot="1" x14ac:dyDescent="0.3">
      <c r="C399" s="24" t="s">
        <v>460</v>
      </c>
      <c r="D399" s="26" t="s">
        <v>454</v>
      </c>
      <c r="E399" s="26" t="s">
        <v>454</v>
      </c>
      <c r="F399" s="32"/>
      <c r="G399" s="33" t="s">
        <v>455</v>
      </c>
      <c r="J399" s="76"/>
      <c r="K399" s="76"/>
      <c r="M399" s="3"/>
      <c r="N399" s="1" t="s">
        <v>455</v>
      </c>
      <c r="S399" s="27">
        <f>F399*M399</f>
        <v>0</v>
      </c>
      <c r="U399" s="3"/>
      <c r="W399" s="45" t="e">
        <f>VLOOKUP($U399,'Regional splits'!$B$15:$R$22,W$5,FALSE)</f>
        <v>#N/A</v>
      </c>
      <c r="X399" s="45" t="e">
        <f>VLOOKUP($U399,'Regional splits'!$B$15:$R$22,X$5,FALSE)</f>
        <v>#N/A</v>
      </c>
      <c r="Y399" s="45" t="e">
        <f>VLOOKUP($U399,'Regional splits'!$B$15:$R$22,Y$5,FALSE)</f>
        <v>#N/A</v>
      </c>
      <c r="Z399" s="45" t="e">
        <f>VLOOKUP($U399,'Regional splits'!$B$15:$R$22,Z$5,FALSE)</f>
        <v>#N/A</v>
      </c>
      <c r="AA399" s="45" t="e">
        <f>VLOOKUP($U399,'Regional splits'!$B$15:$R$22,AA$5,FALSE)</f>
        <v>#N/A</v>
      </c>
      <c r="AB399" s="45" t="e">
        <f>VLOOKUP($U399,'Regional splits'!$B$15:$R$22,AB$5,FALSE)</f>
        <v>#N/A</v>
      </c>
      <c r="AC399" s="45" t="e">
        <f>VLOOKUP($U399,'Regional splits'!$B$15:$R$22,AC$5,FALSE)</f>
        <v>#N/A</v>
      </c>
      <c r="AD399" s="45" t="e">
        <f>VLOOKUP($U399,'Regional splits'!$B$15:$R$22,AD$5,FALSE)</f>
        <v>#N/A</v>
      </c>
      <c r="AE399" s="45" t="e">
        <f>VLOOKUP($U399,'Regional splits'!$B$15:$R$22,AE$5,FALSE)</f>
        <v>#N/A</v>
      </c>
      <c r="AF399" s="45" t="e">
        <f>VLOOKUP($U399,'Regional splits'!$B$15:$R$22,AF$5,FALSE)</f>
        <v>#N/A</v>
      </c>
      <c r="AG399" s="45" t="e">
        <f>VLOOKUP($U399,'Regional splits'!$B$15:$R$22,AG$5,FALSE)</f>
        <v>#N/A</v>
      </c>
      <c r="AH399" s="45" t="e">
        <f>VLOOKUP($U399,'Regional splits'!$B$15:$R$22,AH$5,FALSE)</f>
        <v>#N/A</v>
      </c>
      <c r="AI399" s="45" t="e">
        <f>VLOOKUP($U399,'Regional splits'!$B$15:$R$22,AI$5,FALSE)</f>
        <v>#N/A</v>
      </c>
      <c r="AJ399" s="45" t="e">
        <f>VLOOKUP($U399,'Regional splits'!$B$15:$R$22,AJ$5,FALSE)</f>
        <v>#N/A</v>
      </c>
      <c r="AK399" s="45" t="e">
        <f>VLOOKUP($U399,'Regional splits'!$B$15:$R$22,AK$5,FALSE)</f>
        <v>#N/A</v>
      </c>
      <c r="AL399" s="45" t="e">
        <f>VLOOKUP($U399,'Regional splits'!$B$15:$R$22,AL$5,FALSE)</f>
        <v>#N/A</v>
      </c>
      <c r="AN399" s="3" t="s">
        <v>444</v>
      </c>
      <c r="AP399">
        <f t="shared" ref="AP399:AX399" si="56">IF(ISNUMBER(SEARCH(AP$3,$AN399)),1,0)</f>
        <v>0</v>
      </c>
      <c r="AQ399">
        <f t="shared" si="56"/>
        <v>1</v>
      </c>
      <c r="AR399">
        <f t="shared" si="56"/>
        <v>0</v>
      </c>
      <c r="AS399">
        <f t="shared" si="56"/>
        <v>1</v>
      </c>
      <c r="AT399">
        <f t="shared" si="56"/>
        <v>0</v>
      </c>
      <c r="AU399">
        <f t="shared" si="56"/>
        <v>1</v>
      </c>
      <c r="AV399">
        <f t="shared" si="56"/>
        <v>0</v>
      </c>
      <c r="AW399">
        <f t="shared" si="56"/>
        <v>0</v>
      </c>
      <c r="AX399">
        <f t="shared" si="56"/>
        <v>0</v>
      </c>
      <c r="AY399">
        <f>IF(ISNUMBER(SEARCH(AY$3,$AN399)),1,0)</f>
        <v>0</v>
      </c>
      <c r="BA399" s="31">
        <f>S399*COUNTIFS(AP399:AY399,"1",$AP$4:$AY$4,"TRUE")</f>
        <v>0</v>
      </c>
    </row>
    <row r="400" spans="3:53" hidden="1" x14ac:dyDescent="0.25">
      <c r="F400" s="33"/>
      <c r="G400" s="33"/>
      <c r="J400" s="76"/>
      <c r="K400" s="76"/>
    </row>
    <row r="401" spans="2:53" ht="18" thickBot="1" x14ac:dyDescent="0.35">
      <c r="C401" s="11" t="s">
        <v>727</v>
      </c>
      <c r="J401" s="76"/>
      <c r="K401" s="76"/>
    </row>
    <row r="402" spans="2:53" ht="16.5" thickTop="1" thickBot="1" x14ac:dyDescent="0.3">
      <c r="J402" s="76"/>
      <c r="K402" s="76"/>
    </row>
    <row r="403" spans="2:53" x14ac:dyDescent="0.25">
      <c r="C403" s="121" t="s">
        <v>651</v>
      </c>
      <c r="D403" s="26" t="s">
        <v>87</v>
      </c>
      <c r="F403" s="32">
        <v>50</v>
      </c>
      <c r="G403" s="33" t="s">
        <v>341</v>
      </c>
      <c r="J403" s="76" t="s">
        <v>751</v>
      </c>
      <c r="K403" s="76"/>
      <c r="M403" s="3">
        <v>0</v>
      </c>
      <c r="N403" s="1" t="s">
        <v>135</v>
      </c>
      <c r="S403" s="27">
        <f>SUMPRODUCT(F403:F405,M403:M405)</f>
        <v>0</v>
      </c>
      <c r="U403" s="3" t="s">
        <v>573</v>
      </c>
      <c r="W403" s="45">
        <f>VLOOKUP($U403,'Regional splits'!$B$15:$R$22,W$5,FALSE)</f>
        <v>0.10169491525423729</v>
      </c>
      <c r="X403" s="45">
        <f>VLOOKUP($U403,'Regional splits'!$B$15:$R$22,X$5,FALSE)</f>
        <v>0.12146892655367232</v>
      </c>
      <c r="Y403" s="45">
        <f>VLOOKUP($U403,'Regional splits'!$B$15:$R$22,Y$5,FALSE)</f>
        <v>0.11073446327683616</v>
      </c>
      <c r="Z403" s="45">
        <f>VLOOKUP($U403,'Regional splits'!$B$15:$R$22,Z$5,FALSE)</f>
        <v>7.6836158192090401E-2</v>
      </c>
      <c r="AA403" s="45">
        <f>VLOOKUP($U403,'Regional splits'!$B$15:$R$22,AA$5,FALSE)</f>
        <v>0.14745762711864407</v>
      </c>
      <c r="AB403" s="45">
        <f>VLOOKUP($U403,'Regional splits'!$B$15:$R$22,AB$5,FALSE)</f>
        <v>5.3107344632768359E-2</v>
      </c>
      <c r="AC403" s="45">
        <f>VLOOKUP($U403,'Regional splits'!$B$15:$R$22,AC$5,FALSE)</f>
        <v>7.6271186440677971E-2</v>
      </c>
      <c r="AD403" s="45">
        <f>VLOOKUP($U403,'Regional splits'!$B$15:$R$22,AD$5,FALSE)</f>
        <v>8.7570621468926552E-2</v>
      </c>
      <c r="AE403" s="45">
        <f>VLOOKUP($U403,'Regional splits'!$B$15:$R$22,AE$5,FALSE)</f>
        <v>0.13446327683615819</v>
      </c>
      <c r="AF403" s="45">
        <f>VLOOKUP($U403,'Regional splits'!$B$15:$R$22,AF$5,FALSE)</f>
        <v>9.03954802259887E-2</v>
      </c>
      <c r="AG403" s="45">
        <f>VLOOKUP($U403,'Regional splits'!$B$15:$R$22,AG$5,FALSE)</f>
        <v>0</v>
      </c>
      <c r="AH403" s="45">
        <f>VLOOKUP($U403,'Regional splits'!$B$15:$R$22,AH$5,FALSE)</f>
        <v>0</v>
      </c>
      <c r="AI403" s="45">
        <f>VLOOKUP($U403,'Regional splits'!$B$15:$R$22,AI$5,FALSE)</f>
        <v>0</v>
      </c>
      <c r="AJ403" s="45">
        <f>VLOOKUP($U403,'Regional splits'!$B$15:$R$22,AJ$5,FALSE)</f>
        <v>0</v>
      </c>
      <c r="AK403" s="45">
        <f>VLOOKUP($U403,'Regional splits'!$B$15:$R$22,AK$5,FALSE)</f>
        <v>0</v>
      </c>
      <c r="AL403" s="45">
        <f>VLOOKUP($U403,'Regional splits'!$B$15:$R$22,AL$5,FALSE)</f>
        <v>0</v>
      </c>
      <c r="AN403" s="3" t="s">
        <v>444</v>
      </c>
      <c r="AP403">
        <f t="shared" ref="AP403:AX403" si="57">IF(ISNUMBER(SEARCH(AP$3,$AN403)),1,0)</f>
        <v>0</v>
      </c>
      <c r="AQ403">
        <f t="shared" si="57"/>
        <v>1</v>
      </c>
      <c r="AR403">
        <f t="shared" si="57"/>
        <v>0</v>
      </c>
      <c r="AS403">
        <f t="shared" si="57"/>
        <v>1</v>
      </c>
      <c r="AT403">
        <f t="shared" si="57"/>
        <v>0</v>
      </c>
      <c r="AU403">
        <f t="shared" si="57"/>
        <v>1</v>
      </c>
      <c r="AV403">
        <f t="shared" si="57"/>
        <v>0</v>
      </c>
      <c r="AW403">
        <f t="shared" si="57"/>
        <v>0</v>
      </c>
      <c r="AX403">
        <f t="shared" si="57"/>
        <v>0</v>
      </c>
      <c r="AY403">
        <f>IF(ISNUMBER(SEARCH(AY$3,$AN403)),1,0)</f>
        <v>0</v>
      </c>
      <c r="BA403" s="31">
        <f>S403*COUNTIFS(AP403:AY403,"1",$AP$4:$AY$4,"TRUE")</f>
        <v>0</v>
      </c>
    </row>
    <row r="404" spans="2:53" x14ac:dyDescent="0.25">
      <c r="C404" s="122"/>
      <c r="D404" s="26" t="s">
        <v>88</v>
      </c>
      <c r="F404" s="32">
        <v>50</v>
      </c>
      <c r="G404" s="33" t="s">
        <v>341</v>
      </c>
      <c r="J404" s="76" t="s">
        <v>751</v>
      </c>
      <c r="K404" s="76"/>
      <c r="M404" s="3">
        <v>0</v>
      </c>
      <c r="N404" s="1" t="s">
        <v>135</v>
      </c>
    </row>
    <row r="405" spans="2:53" ht="15.75" thickBot="1" x14ac:dyDescent="0.3">
      <c r="C405" s="123"/>
      <c r="D405" s="26" t="s">
        <v>89</v>
      </c>
      <c r="F405" s="32">
        <v>50</v>
      </c>
      <c r="G405" s="33" t="s">
        <v>341</v>
      </c>
      <c r="J405" s="76" t="s">
        <v>751</v>
      </c>
      <c r="K405" s="76"/>
      <c r="M405" s="3">
        <v>0</v>
      </c>
      <c r="N405" s="1" t="s">
        <v>136</v>
      </c>
    </row>
    <row r="406" spans="2:53" ht="15.75" thickBot="1" x14ac:dyDescent="0.3">
      <c r="J406" s="76"/>
      <c r="K406" s="76"/>
    </row>
    <row r="407" spans="2:53" ht="30.75" thickBot="1" x14ac:dyDescent="0.3">
      <c r="C407" s="25" t="s">
        <v>631</v>
      </c>
      <c r="D407" s="26" t="s">
        <v>342</v>
      </c>
      <c r="F407" s="32"/>
      <c r="G407" s="33" t="s">
        <v>343</v>
      </c>
      <c r="J407" s="76"/>
      <c r="K407" s="76"/>
      <c r="M407" s="3">
        <v>0</v>
      </c>
      <c r="N407" s="1" t="s">
        <v>344</v>
      </c>
      <c r="S407" s="27">
        <f>F407*M407</f>
        <v>0</v>
      </c>
      <c r="U407" s="3" t="s">
        <v>23</v>
      </c>
      <c r="W407" s="45">
        <f>VLOOKUP($U407,'Regional splits'!$B$15:$R$22,W$5,FALSE)</f>
        <v>6.5028184865888027E-3</v>
      </c>
      <c r="X407" s="45">
        <f>VLOOKUP($U407,'Regional splits'!$B$15:$R$22,X$5,FALSE)</f>
        <v>1.0046174249988382E-2</v>
      </c>
      <c r="Y407" s="45">
        <f>VLOOKUP($U407,'Regional splits'!$B$15:$R$22,Y$5,FALSE)</f>
        <v>8.7592983428188623E-3</v>
      </c>
      <c r="Z407" s="45">
        <f>VLOOKUP($U407,'Regional splits'!$B$15:$R$22,Z$5,FALSE)</f>
        <v>4.9187822248369694E-3</v>
      </c>
      <c r="AA407" s="45">
        <f>VLOOKUP($U407,'Regional splits'!$B$15:$R$22,AA$5,FALSE)</f>
        <v>1.1279096074654211E-2</v>
      </c>
      <c r="AB407" s="45">
        <f>VLOOKUP($U407,'Regional splits'!$B$15:$R$22,AB$5,FALSE)</f>
        <v>3.4712865208558724E-3</v>
      </c>
      <c r="AC407" s="45">
        <f>VLOOKUP($U407,'Regional splits'!$B$15:$R$22,AC$5,FALSE)</f>
        <v>0.93863587523942793</v>
      </c>
      <c r="AD407" s="45">
        <f>VLOOKUP($U407,'Regional splits'!$B$15:$R$22,AD$5,FALSE)</f>
        <v>3.6235867509956192E-3</v>
      </c>
      <c r="AE407" s="45">
        <f>VLOOKUP($U407,'Regional splits'!$B$15:$R$22,AE$5,FALSE)</f>
        <v>8.2415668873803607E-3</v>
      </c>
      <c r="AF407" s="45">
        <f>VLOOKUP($U407,'Regional splits'!$B$15:$R$22,AF$5,FALSE)</f>
        <v>4.5215152224531005E-3</v>
      </c>
      <c r="AG407" s="45">
        <f>VLOOKUP($U407,'Regional splits'!$B$15:$R$22,AG$5,FALSE)</f>
        <v>0</v>
      </c>
      <c r="AH407" s="45">
        <f>VLOOKUP($U407,'Regional splits'!$B$15:$R$22,AH$5,FALSE)</f>
        <v>0</v>
      </c>
      <c r="AI407" s="45">
        <f>VLOOKUP($U407,'Regional splits'!$B$15:$R$22,AI$5,FALSE)</f>
        <v>0</v>
      </c>
      <c r="AJ407" s="45">
        <f>VLOOKUP($U407,'Regional splits'!$B$15:$R$22,AJ$5,FALSE)</f>
        <v>0</v>
      </c>
      <c r="AK407" s="45">
        <f>VLOOKUP($U407,'Regional splits'!$B$15:$R$22,AK$5,FALSE)</f>
        <v>0</v>
      </c>
      <c r="AL407" s="45">
        <f>VLOOKUP($U407,'Regional splits'!$B$15:$R$22,AL$5,FALSE)</f>
        <v>0</v>
      </c>
      <c r="AN407" s="3" t="s">
        <v>444</v>
      </c>
      <c r="AP407">
        <f t="shared" ref="AP407:AX407" si="58">IF(ISNUMBER(SEARCH(AP$3,$AN407)),1,0)</f>
        <v>0</v>
      </c>
      <c r="AQ407">
        <f t="shared" si="58"/>
        <v>1</v>
      </c>
      <c r="AR407">
        <f t="shared" si="58"/>
        <v>0</v>
      </c>
      <c r="AS407">
        <f t="shared" si="58"/>
        <v>1</v>
      </c>
      <c r="AT407">
        <f t="shared" si="58"/>
        <v>0</v>
      </c>
      <c r="AU407">
        <f t="shared" si="58"/>
        <v>1</v>
      </c>
      <c r="AV407">
        <f t="shared" si="58"/>
        <v>0</v>
      </c>
      <c r="AW407">
        <f t="shared" si="58"/>
        <v>0</v>
      </c>
      <c r="AX407">
        <f t="shared" si="58"/>
        <v>0</v>
      </c>
      <c r="AY407">
        <f>IF(ISNUMBER(SEARCH(AY$3,$AN407)),1,0)</f>
        <v>0</v>
      </c>
      <c r="BA407" s="31">
        <f>S407*COUNTIFS(AP407:AY407,"1",$AP$4:$AY$4,"TRUE")</f>
        <v>0</v>
      </c>
    </row>
    <row r="408" spans="2:53" ht="15.75" thickBot="1" x14ac:dyDescent="0.3">
      <c r="J408" s="76"/>
      <c r="K408" s="76"/>
    </row>
    <row r="409" spans="2:53" x14ac:dyDescent="0.25">
      <c r="C409" s="121" t="s">
        <v>630</v>
      </c>
      <c r="D409" s="39" t="s">
        <v>387</v>
      </c>
      <c r="J409" s="76"/>
      <c r="K409" s="76"/>
      <c r="S409" s="27">
        <f>F410*M410*O410</f>
        <v>8250</v>
      </c>
      <c r="U409" s="3" t="s">
        <v>176</v>
      </c>
      <c r="W409" s="45">
        <f>VLOOKUP($U409,'Regional splits'!$B$15:$R$22,W$5,FALSE)</f>
        <v>0</v>
      </c>
      <c r="X409" s="45">
        <f>VLOOKUP($U409,'Regional splits'!$B$15:$R$22,X$5,FALSE)</f>
        <v>0</v>
      </c>
      <c r="Y409" s="45">
        <f>VLOOKUP($U409,'Regional splits'!$B$15:$R$22,Y$5,FALSE)</f>
        <v>0</v>
      </c>
      <c r="Z409" s="45">
        <f>VLOOKUP($U409,'Regional splits'!$B$15:$R$22,Z$5,FALSE)</f>
        <v>0</v>
      </c>
      <c r="AA409" s="45">
        <f>VLOOKUP($U409,'Regional splits'!$B$15:$R$22,AA$5,FALSE)</f>
        <v>0</v>
      </c>
      <c r="AB409" s="45">
        <f>VLOOKUP($U409,'Regional splits'!$B$15:$R$22,AB$5,FALSE)</f>
        <v>0</v>
      </c>
      <c r="AC409" s="45">
        <f>VLOOKUP($U409,'Regional splits'!$B$15:$R$22,AC$5,FALSE)</f>
        <v>0</v>
      </c>
      <c r="AD409" s="45">
        <f>VLOOKUP($U409,'Regional splits'!$B$15:$R$22,AD$5,FALSE)</f>
        <v>0</v>
      </c>
      <c r="AE409" s="45">
        <f>VLOOKUP($U409,'Regional splits'!$B$15:$R$22,AE$5,FALSE)</f>
        <v>0</v>
      </c>
      <c r="AF409" s="45">
        <f>VLOOKUP($U409,'Regional splits'!$B$15:$R$22,AF$5,FALSE)</f>
        <v>0</v>
      </c>
      <c r="AG409" s="45">
        <f>VLOOKUP($U409,'Regional splits'!$B$15:$R$22,AG$5,FALSE)</f>
        <v>0</v>
      </c>
      <c r="AH409" s="45">
        <f>VLOOKUP($U409,'Regional splits'!$B$15:$R$22,AH$5,FALSE)</f>
        <v>0</v>
      </c>
      <c r="AI409" s="45">
        <f>VLOOKUP($U409,'Regional splits'!$B$15:$R$22,AI$5,FALSE)</f>
        <v>0</v>
      </c>
      <c r="AJ409" s="45">
        <f>VLOOKUP($U409,'Regional splits'!$B$15:$R$22,AJ$5,FALSE)</f>
        <v>0</v>
      </c>
      <c r="AK409" s="45">
        <f>VLOOKUP($U409,'Regional splits'!$B$15:$R$22,AK$5,FALSE)</f>
        <v>0</v>
      </c>
      <c r="AL409" s="45">
        <f>VLOOKUP($U409,'Regional splits'!$B$15:$R$22,AL$5,FALSE)</f>
        <v>1</v>
      </c>
      <c r="AN409" s="3" t="s">
        <v>222</v>
      </c>
      <c r="AP409">
        <f t="shared" ref="AP409:AX409" si="59">IF(ISNUMBER(SEARCH(AP$3,$AN409)),1,0)</f>
        <v>1</v>
      </c>
      <c r="AQ409">
        <f t="shared" si="59"/>
        <v>1</v>
      </c>
      <c r="AR409">
        <f t="shared" si="59"/>
        <v>1</v>
      </c>
      <c r="AS409">
        <f t="shared" si="59"/>
        <v>1</v>
      </c>
      <c r="AT409">
        <f t="shared" si="59"/>
        <v>1</v>
      </c>
      <c r="AU409">
        <f t="shared" si="59"/>
        <v>1</v>
      </c>
      <c r="AV409">
        <f t="shared" si="59"/>
        <v>1</v>
      </c>
      <c r="AW409">
        <f t="shared" si="59"/>
        <v>1</v>
      </c>
      <c r="AX409">
        <f t="shared" si="59"/>
        <v>0</v>
      </c>
      <c r="AY409">
        <f>IF(ISNUMBER(SEARCH(AY$3,$AN409)),1,0)</f>
        <v>0</v>
      </c>
      <c r="BA409" s="31">
        <f>S409*COUNTIFS(AP409:AY409,"1",$AP$4:$AY$4,"TRUE")</f>
        <v>66000</v>
      </c>
    </row>
    <row r="410" spans="2:53" ht="15.75" thickBot="1" x14ac:dyDescent="0.3">
      <c r="B410" s="23">
        <v>1</v>
      </c>
      <c r="C410" s="123"/>
      <c r="D410" s="26" t="s">
        <v>62</v>
      </c>
      <c r="F410" s="27">
        <f>F34</f>
        <v>25</v>
      </c>
      <c r="J410" s="76"/>
      <c r="K410" s="76"/>
      <c r="M410" s="3">
        <v>30</v>
      </c>
      <c r="N410" s="1" t="s">
        <v>225</v>
      </c>
      <c r="O410" s="3">
        <v>11</v>
      </c>
      <c r="P410" s="1" t="s">
        <v>388</v>
      </c>
    </row>
    <row r="411" spans="2:53" ht="15.75" thickBot="1" x14ac:dyDescent="0.3">
      <c r="J411" s="76"/>
      <c r="K411" s="76"/>
    </row>
    <row r="412" spans="2:53" x14ac:dyDescent="0.25">
      <c r="B412" s="23">
        <v>1</v>
      </c>
      <c r="C412" s="121" t="s">
        <v>650</v>
      </c>
      <c r="D412" s="26" t="s">
        <v>283</v>
      </c>
      <c r="E412" s="26" t="s">
        <v>241</v>
      </c>
      <c r="F412" s="39" t="s">
        <v>227</v>
      </c>
      <c r="J412" s="76"/>
      <c r="K412" s="76"/>
      <c r="M412" s="3">
        <v>30</v>
      </c>
      <c r="N412" s="1" t="s">
        <v>225</v>
      </c>
      <c r="O412" s="3">
        <v>10</v>
      </c>
      <c r="P412" s="1" t="s">
        <v>229</v>
      </c>
      <c r="S412" s="27">
        <f>(HLOOKUP(M413,$AR$19:$AU$31,$AO$20,FALSE)+ROUNDUP(M414,0)*(HLOOKUP(M413,$AR$19:$AU$31,$AO$22,FALSE)+HLOOKUP(M413,$AR$19:$AU$31,$AO$24,FALSE)+M412*HLOOKUP(M413,$AR$19:$AU$31,$AO$23,FALSE)+(M412+HLOOKUP(M413,$AR$19:$AU$31,$AO$27,FALSE))*HLOOKUP(M413,$AR$19:$AU$31,$AO$25,FALSE))+(M412+HLOOKUP(M413,$AR$19:$AU$31,$AO$28,FALSE))*IF(M414&gt;0.5,HLOOKUP(M413,$AR$19:$AU$31,$AO$30,FALSE),HLOOKUP(M413,$AR$19:$AU$31,$AO$31,FALSE)))*O412+F415*M415*O415*O412</f>
        <v>934032.99199999997</v>
      </c>
      <c r="U412" s="3" t="s">
        <v>177</v>
      </c>
      <c r="W412" s="45">
        <f>VLOOKUP($U412,'Regional splits'!$B$15:$R$22,W$5,FALSE)</f>
        <v>0.1</v>
      </c>
      <c r="X412" s="45">
        <f>VLOOKUP($U412,'Regional splits'!$B$15:$R$22,X$5,FALSE)</f>
        <v>0.1</v>
      </c>
      <c r="Y412" s="45">
        <f>VLOOKUP($U412,'Regional splits'!$B$15:$R$22,Y$5,FALSE)</f>
        <v>0.1</v>
      </c>
      <c r="Z412" s="45">
        <f>VLOOKUP($U412,'Regional splits'!$B$15:$R$22,Z$5,FALSE)</f>
        <v>0.1</v>
      </c>
      <c r="AA412" s="45">
        <f>VLOOKUP($U412,'Regional splits'!$B$15:$R$22,AA$5,FALSE)</f>
        <v>0.1</v>
      </c>
      <c r="AB412" s="45">
        <f>VLOOKUP($U412,'Regional splits'!$B$15:$R$22,AB$5,FALSE)</f>
        <v>0.1</v>
      </c>
      <c r="AC412" s="45">
        <f>VLOOKUP($U412,'Regional splits'!$B$15:$R$22,AC$5,FALSE)</f>
        <v>0.1</v>
      </c>
      <c r="AD412" s="45">
        <f>VLOOKUP($U412,'Regional splits'!$B$15:$R$22,AD$5,FALSE)</f>
        <v>0.1</v>
      </c>
      <c r="AE412" s="45">
        <f>VLOOKUP($U412,'Regional splits'!$B$15:$R$22,AE$5,FALSE)</f>
        <v>0.1</v>
      </c>
      <c r="AF412" s="45">
        <f>VLOOKUP($U412,'Regional splits'!$B$15:$R$22,AF$5,FALSE)</f>
        <v>0.1</v>
      </c>
      <c r="AG412" s="45">
        <f>VLOOKUP($U412,'Regional splits'!$B$15:$R$22,AG$5,FALSE)</f>
        <v>0</v>
      </c>
      <c r="AH412" s="45">
        <f>VLOOKUP($U412,'Regional splits'!$B$15:$R$22,AH$5,FALSE)</f>
        <v>0</v>
      </c>
      <c r="AI412" s="45">
        <f>VLOOKUP($U412,'Regional splits'!$B$15:$R$22,AI$5,FALSE)</f>
        <v>0</v>
      </c>
      <c r="AJ412" s="45">
        <f>VLOOKUP($U412,'Regional splits'!$B$15:$R$22,AJ$5,FALSE)</f>
        <v>0</v>
      </c>
      <c r="AK412" s="45">
        <f>VLOOKUP($U412,'Regional splits'!$B$15:$R$22,AK$5,FALSE)</f>
        <v>0</v>
      </c>
      <c r="AL412" s="45">
        <f>VLOOKUP($U412,'Regional splits'!$B$15:$R$22,AL$5,FALSE)</f>
        <v>0</v>
      </c>
      <c r="AN412" s="3" t="s">
        <v>546</v>
      </c>
      <c r="AP412">
        <f t="shared" ref="AP412:AX412" si="60">IF(ISNUMBER(SEARCH(AP$3,$AN412)),1,0)</f>
        <v>0</v>
      </c>
      <c r="AQ412">
        <f t="shared" si="60"/>
        <v>1</v>
      </c>
      <c r="AR412">
        <f t="shared" si="60"/>
        <v>1</v>
      </c>
      <c r="AS412">
        <f t="shared" si="60"/>
        <v>1</v>
      </c>
      <c r="AT412">
        <f t="shared" si="60"/>
        <v>0</v>
      </c>
      <c r="AU412">
        <f t="shared" si="60"/>
        <v>0</v>
      </c>
      <c r="AV412">
        <f t="shared" si="60"/>
        <v>0</v>
      </c>
      <c r="AW412">
        <f t="shared" si="60"/>
        <v>0</v>
      </c>
      <c r="AX412">
        <f t="shared" si="60"/>
        <v>0</v>
      </c>
      <c r="AY412">
        <f>IF(ISNUMBER(SEARCH(AY$3,$AN412)),1,0)</f>
        <v>0</v>
      </c>
      <c r="BA412" s="31">
        <f>S412*COUNTIFS(AP412:AY412,"1",$AP$4:$AY$4,"TRUE")</f>
        <v>2802098.9759999998</v>
      </c>
    </row>
    <row r="413" spans="2:53" ht="15" customHeight="1" x14ac:dyDescent="0.25">
      <c r="C413" s="122"/>
      <c r="J413" s="76"/>
      <c r="K413" s="76"/>
      <c r="M413" s="3" t="s">
        <v>51</v>
      </c>
      <c r="N413" s="1" t="s">
        <v>226</v>
      </c>
    </row>
    <row r="414" spans="2:53" x14ac:dyDescent="0.25">
      <c r="C414" s="122"/>
      <c r="J414" s="76"/>
      <c r="K414" s="76"/>
      <c r="M414" s="3">
        <v>5</v>
      </c>
      <c r="N414" s="1" t="s">
        <v>252</v>
      </c>
    </row>
    <row r="415" spans="2:53" ht="15.75" thickBot="1" x14ac:dyDescent="0.3">
      <c r="C415" s="123"/>
      <c r="E415" s="41" t="s">
        <v>386</v>
      </c>
      <c r="F415" s="32">
        <f>F23</f>
        <v>700</v>
      </c>
      <c r="G415" s="36" t="s">
        <v>307</v>
      </c>
      <c r="J415" s="76"/>
      <c r="K415" s="76"/>
      <c r="M415" s="3">
        <v>0</v>
      </c>
      <c r="N415" s="1" t="s">
        <v>305</v>
      </c>
      <c r="O415" s="3">
        <v>0</v>
      </c>
      <c r="P415" s="1" t="s">
        <v>416</v>
      </c>
    </row>
    <row r="416" spans="2:53" ht="15.75" thickBot="1" x14ac:dyDescent="0.3">
      <c r="J416" s="76"/>
      <c r="K416" s="76"/>
    </row>
    <row r="417" spans="2:53" x14ac:dyDescent="0.25">
      <c r="B417" s="23">
        <v>1</v>
      </c>
      <c r="C417" s="121" t="s">
        <v>656</v>
      </c>
      <c r="D417" s="26" t="s">
        <v>373</v>
      </c>
      <c r="E417" s="41" t="s">
        <v>303</v>
      </c>
      <c r="F417" s="32">
        <f>E24</f>
        <v>700</v>
      </c>
      <c r="G417" s="33" t="s">
        <v>18</v>
      </c>
      <c r="J417" s="76"/>
      <c r="K417" s="76"/>
      <c r="M417" s="3">
        <v>2</v>
      </c>
      <c r="N417" s="1" t="s">
        <v>378</v>
      </c>
      <c r="O417" s="3">
        <v>10</v>
      </c>
      <c r="P417" s="1" t="s">
        <v>379</v>
      </c>
      <c r="S417" s="27">
        <f>(F417*M417*O417+F418*M418+F419*O417)*M419+(F420*M420*O420+F421*M421+F422*O420)*M422*O421+(F423*M423*O423+F424*M424+F425*O423)*M425*O424+(F426*M426*O426+F427*M427+F428*O426)*M428*O427+(F429*M429*O429+F430*M430+F431*O429)*M431*O430</f>
        <v>11275947.776000001</v>
      </c>
      <c r="U417" s="3" t="s">
        <v>573</v>
      </c>
      <c r="W417" s="45">
        <f>VLOOKUP($U417,'Regional splits'!$B$15:$R$22,W$5,FALSE)</f>
        <v>0.10169491525423729</v>
      </c>
      <c r="X417" s="45">
        <f>VLOOKUP($U417,'Regional splits'!$B$15:$R$22,X$5,FALSE)</f>
        <v>0.12146892655367232</v>
      </c>
      <c r="Y417" s="45">
        <f>VLOOKUP($U417,'Regional splits'!$B$15:$R$22,Y$5,FALSE)</f>
        <v>0.11073446327683616</v>
      </c>
      <c r="Z417" s="45">
        <f>VLOOKUP($U417,'Regional splits'!$B$15:$R$22,Z$5,FALSE)</f>
        <v>7.6836158192090401E-2</v>
      </c>
      <c r="AA417" s="45">
        <f>VLOOKUP($U417,'Regional splits'!$B$15:$R$22,AA$5,FALSE)</f>
        <v>0.14745762711864407</v>
      </c>
      <c r="AB417" s="45">
        <f>VLOOKUP($U417,'Regional splits'!$B$15:$R$22,AB$5,FALSE)</f>
        <v>5.3107344632768359E-2</v>
      </c>
      <c r="AC417" s="45">
        <f>VLOOKUP($U417,'Regional splits'!$B$15:$R$22,AC$5,FALSE)</f>
        <v>7.6271186440677971E-2</v>
      </c>
      <c r="AD417" s="45">
        <f>VLOOKUP($U417,'Regional splits'!$B$15:$R$22,AD$5,FALSE)</f>
        <v>8.7570621468926552E-2</v>
      </c>
      <c r="AE417" s="45">
        <f>VLOOKUP($U417,'Regional splits'!$B$15:$R$22,AE$5,FALSE)</f>
        <v>0.13446327683615819</v>
      </c>
      <c r="AF417" s="45">
        <f>VLOOKUP($U417,'Regional splits'!$B$15:$R$22,AF$5,FALSE)</f>
        <v>9.03954802259887E-2</v>
      </c>
      <c r="AG417" s="45">
        <f>VLOOKUP($U417,'Regional splits'!$B$15:$R$22,AG$5,FALSE)</f>
        <v>0</v>
      </c>
      <c r="AH417" s="45">
        <f>VLOOKUP($U417,'Regional splits'!$B$15:$R$22,AH$5,FALSE)</f>
        <v>0</v>
      </c>
      <c r="AI417" s="45">
        <f>VLOOKUP($U417,'Regional splits'!$B$15:$R$22,AI$5,FALSE)</f>
        <v>0</v>
      </c>
      <c r="AJ417" s="45">
        <f>VLOOKUP($U417,'Regional splits'!$B$15:$R$22,AJ$5,FALSE)</f>
        <v>0</v>
      </c>
      <c r="AK417" s="45">
        <f>VLOOKUP($U417,'Regional splits'!$B$15:$R$22,AK$5,FALSE)</f>
        <v>0</v>
      </c>
      <c r="AL417" s="45">
        <f>VLOOKUP($U417,'Regional splits'!$B$15:$R$22,AL$5,FALSE)</f>
        <v>0</v>
      </c>
      <c r="AN417" s="3" t="s">
        <v>222</v>
      </c>
      <c r="AP417">
        <f t="shared" ref="AP417:AX417" si="61">IF(ISNUMBER(SEARCH(AP$3,$AN417)),1,0)</f>
        <v>1</v>
      </c>
      <c r="AQ417">
        <f t="shared" si="61"/>
        <v>1</v>
      </c>
      <c r="AR417">
        <f t="shared" si="61"/>
        <v>1</v>
      </c>
      <c r="AS417">
        <f t="shared" si="61"/>
        <v>1</v>
      </c>
      <c r="AT417">
        <f t="shared" si="61"/>
        <v>1</v>
      </c>
      <c r="AU417">
        <f t="shared" si="61"/>
        <v>1</v>
      </c>
      <c r="AV417">
        <f t="shared" si="61"/>
        <v>1</v>
      </c>
      <c r="AW417">
        <f t="shared" si="61"/>
        <v>1</v>
      </c>
      <c r="AX417">
        <f t="shared" si="61"/>
        <v>0</v>
      </c>
      <c r="AY417">
        <f>IF(ISNUMBER(SEARCH(AY$3,$AN417)),1,0)</f>
        <v>0</v>
      </c>
      <c r="BA417" s="31">
        <f>S417*COUNTIFS(AP417:AY417,"1",$AP$4:$AY$4,"TRUE")</f>
        <v>90207582.208000004</v>
      </c>
    </row>
    <row r="418" spans="2:53" x14ac:dyDescent="0.25">
      <c r="C418" s="122"/>
      <c r="E418" s="26" t="s">
        <v>381</v>
      </c>
      <c r="F418" s="27">
        <f>E48*F40*F41</f>
        <v>1896.704</v>
      </c>
      <c r="G418" s="33" t="s">
        <v>382</v>
      </c>
      <c r="J418" s="76"/>
      <c r="K418" s="76"/>
      <c r="M418" s="3">
        <v>10</v>
      </c>
      <c r="N418" s="1" t="s">
        <v>445</v>
      </c>
    </row>
    <row r="419" spans="2:53" x14ac:dyDescent="0.25">
      <c r="C419" s="122"/>
      <c r="E419" s="26" t="s">
        <v>66</v>
      </c>
      <c r="F419" s="32">
        <f>E24</f>
        <v>700</v>
      </c>
      <c r="G419" s="33" t="s">
        <v>18</v>
      </c>
      <c r="J419" s="76"/>
      <c r="K419" s="76"/>
      <c r="M419" s="3">
        <v>1</v>
      </c>
      <c r="N419" s="1" t="s">
        <v>380</v>
      </c>
    </row>
    <row r="420" spans="2:53" x14ac:dyDescent="0.25">
      <c r="B420" s="23">
        <v>1</v>
      </c>
      <c r="C420" s="122"/>
      <c r="D420" s="26" t="s">
        <v>374</v>
      </c>
      <c r="E420" s="41" t="s">
        <v>303</v>
      </c>
      <c r="F420" s="32">
        <f>F24</f>
        <v>550</v>
      </c>
      <c r="G420" s="33" t="s">
        <v>18</v>
      </c>
      <c r="J420" s="76"/>
      <c r="K420" s="76"/>
      <c r="M420" s="3">
        <v>2</v>
      </c>
      <c r="N420" s="1" t="s">
        <v>378</v>
      </c>
      <c r="O420" s="3">
        <v>8</v>
      </c>
      <c r="P420" s="1" t="s">
        <v>379</v>
      </c>
      <c r="S420"/>
    </row>
    <row r="421" spans="2:53" x14ac:dyDescent="0.25">
      <c r="C421" s="122"/>
      <c r="E421" s="26" t="s">
        <v>381</v>
      </c>
      <c r="F421" s="27">
        <f>F40*F41*F48</f>
        <v>533.29919999999993</v>
      </c>
      <c r="G421" s="33" t="s">
        <v>383</v>
      </c>
      <c r="J421" s="76"/>
      <c r="K421" s="76"/>
      <c r="M421" s="3">
        <f>ROUNDUP('Regional splits'!R6/10,0)</f>
        <v>8</v>
      </c>
      <c r="N421" s="1" t="s">
        <v>445</v>
      </c>
      <c r="O421" s="5">
        <v>10</v>
      </c>
      <c r="P421" s="1" t="s">
        <v>652</v>
      </c>
    </row>
    <row r="422" spans="2:53" x14ac:dyDescent="0.25">
      <c r="C422" s="122"/>
      <c r="E422" s="26" t="s">
        <v>66</v>
      </c>
      <c r="F422" s="32">
        <f>F24</f>
        <v>550</v>
      </c>
      <c r="G422" s="33" t="s">
        <v>18</v>
      </c>
      <c r="J422" s="76"/>
      <c r="K422" s="76"/>
      <c r="M422" s="3">
        <v>2</v>
      </c>
      <c r="N422" s="1" t="s">
        <v>380</v>
      </c>
    </row>
    <row r="423" spans="2:53" x14ac:dyDescent="0.25">
      <c r="B423" s="23">
        <v>1</v>
      </c>
      <c r="C423" s="122"/>
      <c r="D423" s="26" t="s">
        <v>375</v>
      </c>
      <c r="E423" s="41" t="s">
        <v>303</v>
      </c>
      <c r="F423" s="32">
        <f>G24</f>
        <v>500</v>
      </c>
      <c r="G423" s="33" t="s">
        <v>18</v>
      </c>
      <c r="J423" s="76"/>
      <c r="K423" s="76"/>
      <c r="M423" s="3">
        <v>2</v>
      </c>
      <c r="N423" s="1" t="s">
        <v>378</v>
      </c>
      <c r="O423" s="3">
        <v>3</v>
      </c>
      <c r="P423" s="1" t="s">
        <v>379</v>
      </c>
      <c r="S423"/>
    </row>
    <row r="424" spans="2:53" x14ac:dyDescent="0.25">
      <c r="C424" s="122"/>
      <c r="E424" s="26" t="s">
        <v>381</v>
      </c>
      <c r="F424" s="27">
        <f>F40*F41*G48</f>
        <v>222.208</v>
      </c>
      <c r="G424" s="33" t="s">
        <v>384</v>
      </c>
      <c r="J424" s="76"/>
      <c r="K424" s="76"/>
      <c r="M424" s="3">
        <f>ROUNDUP(('Regional splits'!R9+'Regional splits'!R11)/'Regional splits'!R6,0)</f>
        <v>10</v>
      </c>
      <c r="N424" s="1" t="s">
        <v>445</v>
      </c>
      <c r="O424" s="5">
        <f>'Regional splits'!R6</f>
        <v>72</v>
      </c>
      <c r="P424" s="1" t="s">
        <v>653</v>
      </c>
    </row>
    <row r="425" spans="2:53" x14ac:dyDescent="0.25">
      <c r="C425" s="122"/>
      <c r="E425" s="26" t="s">
        <v>66</v>
      </c>
      <c r="F425" s="32">
        <f>G24</f>
        <v>500</v>
      </c>
      <c r="G425" s="33" t="s">
        <v>18</v>
      </c>
      <c r="J425" s="76"/>
      <c r="K425" s="76"/>
      <c r="M425" s="3">
        <v>4</v>
      </c>
      <c r="N425" s="1" t="s">
        <v>380</v>
      </c>
    </row>
    <row r="426" spans="2:53" x14ac:dyDescent="0.25">
      <c r="B426" s="23">
        <v>1</v>
      </c>
      <c r="C426" s="122"/>
      <c r="D426" s="26" t="s">
        <v>376</v>
      </c>
      <c r="E426" s="41" t="s">
        <v>303</v>
      </c>
      <c r="F426" s="32">
        <f>G24</f>
        <v>500</v>
      </c>
      <c r="G426" s="33" t="s">
        <v>18</v>
      </c>
      <c r="J426" s="76"/>
      <c r="K426" s="76"/>
      <c r="M426" s="3">
        <v>1</v>
      </c>
      <c r="N426" s="1" t="s">
        <v>378</v>
      </c>
      <c r="O426" s="3">
        <v>2</v>
      </c>
    </row>
    <row r="427" spans="2:53" x14ac:dyDescent="0.25">
      <c r="C427" s="122"/>
      <c r="E427" s="26" t="s">
        <v>381</v>
      </c>
      <c r="F427" s="27">
        <f>F40*F41*G48</f>
        <v>222.208</v>
      </c>
      <c r="G427" s="33" t="s">
        <v>655</v>
      </c>
      <c r="J427" s="76"/>
      <c r="K427" s="76"/>
      <c r="M427" s="3">
        <f>ROUNDUP('Regional splits'!R11/'Regional splits'!R6,0)</f>
        <v>4</v>
      </c>
      <c r="N427" s="1" t="s">
        <v>445</v>
      </c>
      <c r="O427" s="5">
        <f>'Regional splits'!R6</f>
        <v>72</v>
      </c>
      <c r="P427" s="1" t="s">
        <v>653</v>
      </c>
    </row>
    <row r="428" spans="2:53" x14ac:dyDescent="0.25">
      <c r="C428" s="122"/>
      <c r="E428" s="26" t="s">
        <v>66</v>
      </c>
      <c r="F428" s="32">
        <f>G24</f>
        <v>500</v>
      </c>
      <c r="G428" s="33" t="s">
        <v>18</v>
      </c>
      <c r="J428" s="76"/>
      <c r="K428" s="76"/>
      <c r="M428" s="3">
        <v>6</v>
      </c>
      <c r="N428" s="1" t="s">
        <v>380</v>
      </c>
    </row>
    <row r="429" spans="2:53" x14ac:dyDescent="0.25">
      <c r="B429" s="23">
        <v>1</v>
      </c>
      <c r="C429" s="122"/>
      <c r="D429" s="26" t="s">
        <v>377</v>
      </c>
      <c r="E429" s="41" t="s">
        <v>303</v>
      </c>
      <c r="F429" s="32">
        <f>H24</f>
        <v>350</v>
      </c>
      <c r="G429" s="33" t="s">
        <v>18</v>
      </c>
      <c r="J429" s="76"/>
      <c r="K429" s="76"/>
      <c r="M429" s="3">
        <v>1</v>
      </c>
      <c r="N429" s="1" t="s">
        <v>378</v>
      </c>
      <c r="O429" s="3">
        <v>1</v>
      </c>
    </row>
    <row r="430" spans="2:53" x14ac:dyDescent="0.25">
      <c r="C430" s="122"/>
      <c r="E430" s="26" t="s">
        <v>381</v>
      </c>
      <c r="F430" s="27">
        <f>F40*F41*H48</f>
        <v>15.872</v>
      </c>
      <c r="G430" s="33" t="s">
        <v>385</v>
      </c>
      <c r="J430" s="76"/>
      <c r="K430" s="76"/>
      <c r="M430" s="3">
        <v>5</v>
      </c>
      <c r="N430" s="1" t="s">
        <v>445</v>
      </c>
      <c r="O430" s="5">
        <f>SUM('Regional splits'!R9:R10)</f>
        <v>1495</v>
      </c>
      <c r="P430" s="1" t="s">
        <v>654</v>
      </c>
    </row>
    <row r="431" spans="2:53" ht="15.75" thickBot="1" x14ac:dyDescent="0.3">
      <c r="C431" s="123"/>
      <c r="E431" s="26" t="s">
        <v>66</v>
      </c>
      <c r="F431" s="32">
        <v>0</v>
      </c>
      <c r="G431" s="33" t="s">
        <v>18</v>
      </c>
      <c r="J431" s="76"/>
      <c r="K431" s="76"/>
      <c r="M431" s="3">
        <v>12</v>
      </c>
      <c r="N431" s="1" t="s">
        <v>380</v>
      </c>
    </row>
    <row r="432" spans="2:53" ht="15.75" thickBot="1" x14ac:dyDescent="0.3">
      <c r="J432" s="76"/>
      <c r="K432" s="76"/>
    </row>
    <row r="433" spans="2:53" ht="15" customHeight="1" x14ac:dyDescent="0.25">
      <c r="B433" s="23">
        <v>1</v>
      </c>
      <c r="C433" s="121" t="s">
        <v>659</v>
      </c>
      <c r="D433" s="26" t="s">
        <v>392</v>
      </c>
      <c r="E433" s="26" t="s">
        <v>238</v>
      </c>
      <c r="F433" s="39" t="s">
        <v>227</v>
      </c>
      <c r="J433" s="76"/>
      <c r="K433" s="76"/>
      <c r="M433" s="3">
        <v>30</v>
      </c>
      <c r="N433" s="1" t="s">
        <v>225</v>
      </c>
      <c r="O433" s="3">
        <v>2</v>
      </c>
      <c r="P433" s="1" t="s">
        <v>229</v>
      </c>
      <c r="S433" s="27">
        <f>(HLOOKUP(M434,$AR$19:$AU$31,$AO$20,FALSE)+ROUNDUP(M435,0)*(HLOOKUP(M434,$AR$19:$AU$31,$AO$22,FALSE)+HLOOKUP(M434,$AR$19:$AU$31,$AO$24,FALSE)+M433*HLOOKUP(M434,$AR$19:$AU$31,$AO$23,FALSE)+(M433+HLOOKUP(M434,$AR$19:$AU$31,$AO$27,FALSE))*HLOOKUP(M434,$AR$19:$AU$31,$AO$25,FALSE))+(M433+HLOOKUP(M434,$AR$19:$AU$31,$AO$28,FALSE))*IF(M435&gt;0.5,HLOOKUP(M434,$AR$19:$AU$31,$AO$30,FALSE),HLOOKUP(M434,$AR$19:$AU$31,$AO$31,FALSE)))*O433+(HLOOKUP(M437,$AR$19:$AU$31,$AO$20,FALSE)+ROUNDUP(M438,0)*(HLOOKUP(M437,$AR$19:$AU$31,$AO$22,FALSE)+HLOOKUP(M437,$AR$19:$AU$31,$AO$24,FALSE)+M436*HLOOKUP(M437,$AR$19:$AU$31,$AO$23,FALSE)+(M436+HLOOKUP(M437,$AR$19:$AU$31,$AO$27,FALSE))*HLOOKUP(M437,$AR$19:$AU$31,$AO$25,FALSE))+(M436+HLOOKUP(M437,$AR$19:$AU$31,$AO$28,FALSE))*IF(M438&gt;0.5,HLOOKUP(M437,$AR$19:$AU$31,$AO$30,FALSE),HLOOKUP(M437,$AR$19:$AU$31,$AO$31,FALSE)))*O436*O437+(HLOOKUP(M440,$AR$19:$AU$31,$AO$20,FALSE)+ROUNDUP(M441,0)*(HLOOKUP(M440,$AR$19:$AU$31,$AO$22,FALSE)+HLOOKUP(M440,$AR$19:$AU$31,$AO$24,FALSE)+M439*HLOOKUP(M440,$AR$19:$AU$31,$AO$23,FALSE)+(M439+HLOOKUP(M440,$AR$19:$AU$31,$AO$27,FALSE))*HLOOKUP(M440,$AR$19:$AU$31,$AO$25,FALSE))+(M439+HLOOKUP(M440,$AR$19:$AU$31,$AO$28,FALSE))*IF(M441&gt;0.5,HLOOKUP(M440,$AR$19:$AU$31,$AO$30,FALSE),HLOOKUP(M440,$AR$19:$AU$31,$AO$31,FALSE)))*O439*O440</f>
        <v>3729603.0240000002</v>
      </c>
      <c r="U433" s="3" t="s">
        <v>177</v>
      </c>
      <c r="W433" s="45">
        <f>VLOOKUP($U433,'Regional splits'!$B$15:$R$22,W$5,FALSE)</f>
        <v>0.1</v>
      </c>
      <c r="X433" s="45">
        <f>VLOOKUP($U433,'Regional splits'!$B$15:$R$22,X$5,FALSE)</f>
        <v>0.1</v>
      </c>
      <c r="Y433" s="45">
        <f>VLOOKUP($U433,'Regional splits'!$B$15:$R$22,Y$5,FALSE)</f>
        <v>0.1</v>
      </c>
      <c r="Z433" s="45">
        <f>VLOOKUP($U433,'Regional splits'!$B$15:$R$22,Z$5,FALSE)</f>
        <v>0.1</v>
      </c>
      <c r="AA433" s="45">
        <f>VLOOKUP($U433,'Regional splits'!$B$15:$R$22,AA$5,FALSE)</f>
        <v>0.1</v>
      </c>
      <c r="AB433" s="45">
        <f>VLOOKUP($U433,'Regional splits'!$B$15:$R$22,AB$5,FALSE)</f>
        <v>0.1</v>
      </c>
      <c r="AC433" s="45">
        <f>VLOOKUP($U433,'Regional splits'!$B$15:$R$22,AC$5,FALSE)</f>
        <v>0.1</v>
      </c>
      <c r="AD433" s="45">
        <f>VLOOKUP($U433,'Regional splits'!$B$15:$R$22,AD$5,FALSE)</f>
        <v>0.1</v>
      </c>
      <c r="AE433" s="45">
        <f>VLOOKUP($U433,'Regional splits'!$B$15:$R$22,AE$5,FALSE)</f>
        <v>0.1</v>
      </c>
      <c r="AF433" s="45">
        <f>VLOOKUP($U433,'Regional splits'!$B$15:$R$22,AF$5,FALSE)</f>
        <v>0.1</v>
      </c>
      <c r="AG433" s="45">
        <f>VLOOKUP($U433,'Regional splits'!$B$15:$R$22,AG$5,FALSE)</f>
        <v>0</v>
      </c>
      <c r="AH433" s="45">
        <f>VLOOKUP($U433,'Regional splits'!$B$15:$R$22,AH$5,FALSE)</f>
        <v>0</v>
      </c>
      <c r="AI433" s="45">
        <f>VLOOKUP($U433,'Regional splits'!$B$15:$R$22,AI$5,FALSE)</f>
        <v>0</v>
      </c>
      <c r="AJ433" s="45">
        <f>VLOOKUP($U433,'Regional splits'!$B$15:$R$22,AJ$5,FALSE)</f>
        <v>0</v>
      </c>
      <c r="AK433" s="45">
        <f>VLOOKUP($U433,'Regional splits'!$B$15:$R$22,AK$5,FALSE)</f>
        <v>0</v>
      </c>
      <c r="AL433" s="45">
        <f>VLOOKUP($U433,'Regional splits'!$B$15:$R$22,AL$5,FALSE)</f>
        <v>0</v>
      </c>
      <c r="AN433" s="3" t="s">
        <v>444</v>
      </c>
      <c r="AP433">
        <f t="shared" ref="AP433:AX433" si="62">IF(ISNUMBER(SEARCH(AP$3,$AN433)),1,0)</f>
        <v>0</v>
      </c>
      <c r="AQ433">
        <f t="shared" si="62"/>
        <v>1</v>
      </c>
      <c r="AR433">
        <f t="shared" si="62"/>
        <v>0</v>
      </c>
      <c r="AS433">
        <f t="shared" si="62"/>
        <v>1</v>
      </c>
      <c r="AT433">
        <f t="shared" si="62"/>
        <v>0</v>
      </c>
      <c r="AU433">
        <f t="shared" si="62"/>
        <v>1</v>
      </c>
      <c r="AV433">
        <f t="shared" si="62"/>
        <v>0</v>
      </c>
      <c r="AW433">
        <f t="shared" si="62"/>
        <v>0</v>
      </c>
      <c r="AX433">
        <f t="shared" si="62"/>
        <v>0</v>
      </c>
      <c r="AY433">
        <f>IF(ISNUMBER(SEARCH(AY$3,$AN433)),1,0)</f>
        <v>0</v>
      </c>
      <c r="BA433" s="31">
        <f>S433*COUNTIFS(AP433:AY433,"1",$AP$4:$AY$4,"TRUE")</f>
        <v>11188809.072000001</v>
      </c>
    </row>
    <row r="434" spans="2:53" x14ac:dyDescent="0.25">
      <c r="C434" s="122"/>
      <c r="J434" s="76"/>
      <c r="K434" s="76"/>
      <c r="M434" s="3" t="s">
        <v>50</v>
      </c>
      <c r="N434" s="1" t="s">
        <v>226</v>
      </c>
    </row>
    <row r="435" spans="2:53" x14ac:dyDescent="0.25">
      <c r="C435" s="122"/>
      <c r="J435" s="76"/>
      <c r="K435" s="76"/>
      <c r="M435" s="3">
        <v>1</v>
      </c>
      <c r="N435" s="1" t="s">
        <v>252</v>
      </c>
    </row>
    <row r="436" spans="2:53" x14ac:dyDescent="0.25">
      <c r="B436" s="23">
        <v>1</v>
      </c>
      <c r="C436" s="122"/>
      <c r="D436" s="26" t="s">
        <v>393</v>
      </c>
      <c r="E436" s="26" t="s">
        <v>238</v>
      </c>
      <c r="F436" s="39" t="s">
        <v>227</v>
      </c>
      <c r="J436" s="76"/>
      <c r="K436" s="76"/>
      <c r="M436" s="3">
        <v>20</v>
      </c>
      <c r="N436" s="1" t="s">
        <v>225</v>
      </c>
      <c r="O436" s="3">
        <v>4</v>
      </c>
      <c r="P436" s="1" t="s">
        <v>229</v>
      </c>
    </row>
    <row r="437" spans="2:53" x14ac:dyDescent="0.25">
      <c r="C437" s="122"/>
      <c r="J437" s="76"/>
      <c r="K437" s="76"/>
      <c r="M437" s="3" t="s">
        <v>51</v>
      </c>
      <c r="N437" s="1" t="s">
        <v>226</v>
      </c>
      <c r="O437" s="3">
        <v>10</v>
      </c>
      <c r="P437" s="1" t="s">
        <v>652</v>
      </c>
    </row>
    <row r="438" spans="2:53" x14ac:dyDescent="0.25">
      <c r="C438" s="122"/>
      <c r="J438" s="76"/>
      <c r="K438" s="76"/>
      <c r="M438" s="3">
        <v>0.5</v>
      </c>
      <c r="N438" s="1" t="s">
        <v>252</v>
      </c>
    </row>
    <row r="439" spans="2:53" x14ac:dyDescent="0.25">
      <c r="B439" s="23">
        <v>1</v>
      </c>
      <c r="C439" s="122"/>
      <c r="D439" s="26" t="s">
        <v>394</v>
      </c>
      <c r="E439" s="26" t="s">
        <v>238</v>
      </c>
      <c r="F439" s="39" t="s">
        <v>227</v>
      </c>
      <c r="J439" s="76"/>
      <c r="K439" s="76"/>
      <c r="M439" s="3">
        <v>20</v>
      </c>
      <c r="N439" s="1" t="s">
        <v>225</v>
      </c>
      <c r="O439" s="3">
        <v>4</v>
      </c>
      <c r="P439" s="1" t="s">
        <v>229</v>
      </c>
    </row>
    <row r="440" spans="2:53" x14ac:dyDescent="0.25">
      <c r="C440" s="122"/>
      <c r="J440" s="76"/>
      <c r="K440" s="76"/>
      <c r="M440" s="3" t="s">
        <v>52</v>
      </c>
      <c r="N440" s="1" t="s">
        <v>226</v>
      </c>
      <c r="O440" s="5">
        <f>'Regional splits'!R6</f>
        <v>72</v>
      </c>
      <c r="P440" s="1" t="s">
        <v>653</v>
      </c>
    </row>
    <row r="441" spans="2:53" ht="15.75" thickBot="1" x14ac:dyDescent="0.3">
      <c r="C441" s="123"/>
      <c r="J441" s="76"/>
      <c r="K441" s="76"/>
      <c r="M441" s="3">
        <v>0.5</v>
      </c>
      <c r="N441" s="1" t="s">
        <v>252</v>
      </c>
    </row>
    <row r="442" spans="2:53" ht="15.75" thickBot="1" x14ac:dyDescent="0.3">
      <c r="J442" s="76"/>
      <c r="K442" s="76"/>
    </row>
    <row r="443" spans="2:53" ht="15" customHeight="1" x14ac:dyDescent="0.25">
      <c r="C443" s="121" t="s">
        <v>660</v>
      </c>
      <c r="J443" s="76"/>
      <c r="K443" s="76"/>
      <c r="M443" s="3">
        <v>0</v>
      </c>
      <c r="N443" s="1" t="s">
        <v>370</v>
      </c>
    </row>
    <row r="444" spans="2:53" ht="15" customHeight="1" x14ac:dyDescent="0.25">
      <c r="C444" s="122"/>
      <c r="D444" s="26" t="s">
        <v>351</v>
      </c>
      <c r="E444" s="26" t="s">
        <v>68</v>
      </c>
      <c r="F444" s="32">
        <v>2500</v>
      </c>
      <c r="G444" s="33" t="s">
        <v>189</v>
      </c>
      <c r="J444" s="76"/>
      <c r="K444" s="76"/>
      <c r="M444" s="3"/>
      <c r="N444" s="1" t="s">
        <v>223</v>
      </c>
      <c r="O444" s="3"/>
      <c r="P444" s="1" t="s">
        <v>224</v>
      </c>
      <c r="S444" s="27" t="e">
        <f>((HLOOKUP(M446,$AR$19:$AU$31,$AO$20,FALSE)+ROUNDUP(M447,0)*(HLOOKUP(M446,$AR$19:$AU$31,$AO$22,FALSE)+HLOOKUP(M446,$AR$19:$AU$31,$AO$24,FALSE)+M445*HLOOKUP(M446,$AR$19:$AU$31,$AO$23,FALSE)+(M445+HLOOKUP(M446,$AR$19:$AU$31,$AO$27,FALSE))*HLOOKUP(M446,$AR$19:$AU$31,$AO$25,FALSE))+(M445+HLOOKUP(M446,$AR$19:$AU$31,$AO$28,FALSE))*IF(M447&gt;0.5,HLOOKUP(M446,$AR$19:$AU$31,$AO$30,FALSE),HLOOKUP(M446,$AR$19:$AU$31,$AO$31,FALSE)))*O445+F444*M444*O444+F448+(HLOOKUP(M451,$AR$19:$AU$31,$AO$20,FALSE)+ROUNDUP(M452,0)*(HLOOKUP(M451,$AR$19:$AU$31,$AO$22,FALSE)+HLOOKUP(M451,$AR$19:$AU$31,$AO$24,FALSE)+M450*HLOOKUP(M451,$AR$19:$AU$31,$AO$23,FALSE)+(M450+HLOOKUP(M451,$AR$19:$AU$31,$AO$27,FALSE))*HLOOKUP(M451,$AR$19:$AU$31,$AO$25,FALSE))+(M450+HLOOKUP(M451,$AR$19:$AU$31,$AO$28,FALSE))*IF(M452&gt;0.5,HLOOKUP(M451,$AR$19:$AU$31,$AO$30,FALSE),HLOOKUP(M451,$AR$19:$AU$31,$AO$31,FALSE)))*O450+F449*M449*O449+F453*M453*O453+F454*M454*O454+F455*M455+F456*M456+F457*M457+F458*M458*O458+F459*M459*O459+(HLOOKUP(M461,$AR$19:$AU$31,$AO$20,FALSE)+ROUNDUP(M462,0)*(HLOOKUP(M461,$AR$19:$AU$31,$AO$22,FALSE)+HLOOKUP(M461,$AR$19:$AU$31,$AO$24,FALSE)+M460*HLOOKUP(M461,$AR$19:$AU$31,$AO$23,FALSE)+(M460+HLOOKUP(M461,$AR$19:$AU$31,$AO$27,FALSE))*HLOOKUP(M461,$AR$19:$AU$31,$AO$25,FALSE))+(M460+HLOOKUP(M461,$AR$19:$AU$31,$AO$28,FALSE))*IF(M462&gt;0.5,HLOOKUP(M461,$AR$19:$AU$31,$AO$30,FALSE),HLOOKUP(M461,$AR$19:$AU$31,$AO$31,FALSE)))*O460+F463*M463+(HLOOKUP(M465,$AR$19:$AU$31,$AO$20,FALSE)+ROUNDUP(M466,0)*(HLOOKUP(M465,$AR$19:$AU$31,$AO$22,FALSE)+HLOOKUP(M465,$AR$19:$AU$31,$AO$24,FALSE)+M464*HLOOKUP(M465,$AR$19:$AU$31,$AO$23,FALSE)+(M464+HLOOKUP(M465,$AR$19:$AU$31,$AO$27,FALSE))*HLOOKUP(M465,$AR$19:$AU$31,$AO$25,FALSE))+(M464+HLOOKUP(M465,$AR$19:$AU$31,$AO$28,FALSE))*IF(M466&gt;0.5,HLOOKUP(M465,$AR$19:$AU$31,$AO$30,FALSE),HLOOKUP(M465,$AR$19:$AU$31,$AO$31,FALSE)))*O464)*M443</f>
        <v>#N/A</v>
      </c>
      <c r="U444" s="3"/>
      <c r="W444" s="45" t="e">
        <f>VLOOKUP($U444,'Regional splits'!$B$15:$R$22,W$5,FALSE)</f>
        <v>#N/A</v>
      </c>
      <c r="X444" s="45" t="e">
        <f>VLOOKUP($U444,'Regional splits'!$B$15:$R$22,X$5,FALSE)</f>
        <v>#N/A</v>
      </c>
      <c r="Y444" s="45" t="e">
        <f>VLOOKUP($U444,'Regional splits'!$B$15:$R$22,Y$5,FALSE)</f>
        <v>#N/A</v>
      </c>
      <c r="Z444" s="45" t="e">
        <f>VLOOKUP($U444,'Regional splits'!$B$15:$R$22,Z$5,FALSE)</f>
        <v>#N/A</v>
      </c>
      <c r="AA444" s="45" t="e">
        <f>VLOOKUP($U444,'Regional splits'!$B$15:$R$22,AA$5,FALSE)</f>
        <v>#N/A</v>
      </c>
      <c r="AB444" s="45" t="e">
        <f>VLOOKUP($U444,'Regional splits'!$B$15:$R$22,AB$5,FALSE)</f>
        <v>#N/A</v>
      </c>
      <c r="AC444" s="45" t="e">
        <f>VLOOKUP($U444,'Regional splits'!$B$15:$R$22,AC$5,FALSE)</f>
        <v>#N/A</v>
      </c>
      <c r="AD444" s="45" t="e">
        <f>VLOOKUP($U444,'Regional splits'!$B$15:$R$22,AD$5,FALSE)</f>
        <v>#N/A</v>
      </c>
      <c r="AE444" s="45" t="e">
        <f>VLOOKUP($U444,'Regional splits'!$B$15:$R$22,AE$5,FALSE)</f>
        <v>#N/A</v>
      </c>
      <c r="AF444" s="45" t="e">
        <f>VLOOKUP($U444,'Regional splits'!$B$15:$R$22,AF$5,FALSE)</f>
        <v>#N/A</v>
      </c>
      <c r="AG444" s="45" t="e">
        <f>VLOOKUP($U444,'Regional splits'!$B$15:$R$22,AG$5,FALSE)</f>
        <v>#N/A</v>
      </c>
      <c r="AH444" s="45" t="e">
        <f>VLOOKUP($U444,'Regional splits'!$B$15:$R$22,AH$5,FALSE)</f>
        <v>#N/A</v>
      </c>
      <c r="AI444" s="45" t="e">
        <f>VLOOKUP($U444,'Regional splits'!$B$15:$R$22,AI$5,FALSE)</f>
        <v>#N/A</v>
      </c>
      <c r="AJ444" s="45" t="e">
        <f>VLOOKUP($U444,'Regional splits'!$B$15:$R$22,AJ$5,FALSE)</f>
        <v>#N/A</v>
      </c>
      <c r="AK444" s="45" t="e">
        <f>VLOOKUP($U444,'Regional splits'!$B$15:$R$22,AK$5,FALSE)</f>
        <v>#N/A</v>
      </c>
      <c r="AL444" s="45" t="e">
        <f>VLOOKUP($U444,'Regional splits'!$B$15:$R$22,AL$5,FALSE)</f>
        <v>#N/A</v>
      </c>
      <c r="AN444" s="3">
        <v>2013</v>
      </c>
      <c r="AP444">
        <f t="shared" ref="AP444:AX444" si="63">IF(ISNUMBER(SEARCH(AP$3,$AN444)),1,0)</f>
        <v>1</v>
      </c>
      <c r="AQ444">
        <f t="shared" si="63"/>
        <v>0</v>
      </c>
      <c r="AR444">
        <f t="shared" si="63"/>
        <v>0</v>
      </c>
      <c r="AS444">
        <f t="shared" si="63"/>
        <v>0</v>
      </c>
      <c r="AT444">
        <f t="shared" si="63"/>
        <v>0</v>
      </c>
      <c r="AU444">
        <f t="shared" si="63"/>
        <v>0</v>
      </c>
      <c r="AV444">
        <f t="shared" si="63"/>
        <v>0</v>
      </c>
      <c r="AW444">
        <f t="shared" si="63"/>
        <v>0</v>
      </c>
      <c r="AX444">
        <f t="shared" si="63"/>
        <v>0</v>
      </c>
      <c r="AY444">
        <f>IF(ISNUMBER(SEARCH(AY$3,$AN444)),1,0)</f>
        <v>0</v>
      </c>
      <c r="BA444" s="31" t="e">
        <f>S444*COUNTIFS(AP444:AY444,"1",$AP$4:$AY$4,"TRUE")</f>
        <v>#N/A</v>
      </c>
    </row>
    <row r="445" spans="2:53" x14ac:dyDescent="0.25">
      <c r="C445" s="122"/>
      <c r="D445" s="26" t="s">
        <v>371</v>
      </c>
      <c r="E445" s="26" t="s">
        <v>238</v>
      </c>
      <c r="F445" s="39" t="s">
        <v>227</v>
      </c>
      <c r="J445" s="76"/>
      <c r="K445" s="76"/>
      <c r="M445" s="3"/>
      <c r="N445" s="1" t="s">
        <v>225</v>
      </c>
      <c r="O445" s="3"/>
      <c r="P445" s="1" t="s">
        <v>229</v>
      </c>
    </row>
    <row r="446" spans="2:53" x14ac:dyDescent="0.25">
      <c r="C446" s="122"/>
      <c r="J446" s="76"/>
      <c r="K446" s="76"/>
      <c r="M446" s="3"/>
      <c r="N446" s="1" t="s">
        <v>226</v>
      </c>
    </row>
    <row r="447" spans="2:53" x14ac:dyDescent="0.25">
      <c r="C447" s="122"/>
      <c r="J447" s="76"/>
      <c r="K447" s="76"/>
      <c r="M447" s="3"/>
      <c r="N447" s="1" t="s">
        <v>252</v>
      </c>
    </row>
    <row r="448" spans="2:53" x14ac:dyDescent="0.25">
      <c r="C448" s="122"/>
      <c r="D448" s="26" t="s">
        <v>372</v>
      </c>
      <c r="F448" s="32">
        <v>2500</v>
      </c>
      <c r="J448" s="76"/>
      <c r="K448" s="76"/>
    </row>
    <row r="449" spans="2:16" x14ac:dyDescent="0.25">
      <c r="B449" s="23">
        <v>1</v>
      </c>
      <c r="C449" s="122"/>
      <c r="D449" s="26" t="s">
        <v>395</v>
      </c>
      <c r="F449" s="32">
        <v>2000</v>
      </c>
      <c r="G449" s="33" t="s">
        <v>17</v>
      </c>
      <c r="J449" s="76"/>
      <c r="K449" s="76"/>
      <c r="M449" s="3">
        <v>1</v>
      </c>
      <c r="N449" s="1" t="s">
        <v>369</v>
      </c>
      <c r="O449" s="3">
        <v>30</v>
      </c>
      <c r="P449" s="1" t="s">
        <v>224</v>
      </c>
    </row>
    <row r="450" spans="2:16" x14ac:dyDescent="0.25">
      <c r="B450" s="23">
        <v>1</v>
      </c>
      <c r="C450" s="122"/>
      <c r="D450" s="26" t="s">
        <v>350</v>
      </c>
      <c r="E450" s="26" t="s">
        <v>241</v>
      </c>
      <c r="F450" s="39" t="s">
        <v>227</v>
      </c>
      <c r="J450" s="76"/>
      <c r="K450" s="76"/>
      <c r="M450" s="3"/>
      <c r="N450" s="1" t="s">
        <v>225</v>
      </c>
      <c r="O450" s="3"/>
      <c r="P450" s="1" t="s">
        <v>229</v>
      </c>
    </row>
    <row r="451" spans="2:16" x14ac:dyDescent="0.25">
      <c r="C451" s="122"/>
      <c r="J451" s="76"/>
      <c r="K451" s="76"/>
      <c r="M451" s="3"/>
      <c r="N451" s="1" t="s">
        <v>226</v>
      </c>
    </row>
    <row r="452" spans="2:16" x14ac:dyDescent="0.25">
      <c r="C452" s="122"/>
      <c r="J452" s="76"/>
      <c r="K452" s="76"/>
      <c r="M452" s="3"/>
      <c r="N452" s="1" t="s">
        <v>252</v>
      </c>
    </row>
    <row r="453" spans="2:16" x14ac:dyDescent="0.25">
      <c r="B453" s="23">
        <v>1</v>
      </c>
      <c r="C453" s="122"/>
      <c r="D453" s="26" t="s">
        <v>357</v>
      </c>
      <c r="E453" s="26" t="s">
        <v>279</v>
      </c>
      <c r="F453" s="32">
        <v>250</v>
      </c>
      <c r="G453" s="33" t="s">
        <v>17</v>
      </c>
      <c r="J453" s="76"/>
      <c r="K453" s="76"/>
      <c r="M453" s="3"/>
      <c r="N453" s="1" t="s">
        <v>362</v>
      </c>
      <c r="O453" s="3"/>
      <c r="P453" s="1" t="s">
        <v>224</v>
      </c>
    </row>
    <row r="454" spans="2:16" x14ac:dyDescent="0.25">
      <c r="C454" s="122"/>
      <c r="D454" s="26" t="s">
        <v>368</v>
      </c>
      <c r="E454" s="26" t="s">
        <v>366</v>
      </c>
      <c r="F454" s="49">
        <f>E37</f>
        <v>0.75</v>
      </c>
      <c r="G454" s="33" t="s">
        <v>363</v>
      </c>
      <c r="J454" s="76"/>
      <c r="K454" s="76"/>
      <c r="M454" s="3"/>
      <c r="N454" s="1" t="s">
        <v>364</v>
      </c>
      <c r="O454" s="3"/>
      <c r="P454" s="1" t="s">
        <v>365</v>
      </c>
    </row>
    <row r="455" spans="2:16" x14ac:dyDescent="0.25">
      <c r="C455" s="122"/>
      <c r="E455" s="26" t="s">
        <v>367</v>
      </c>
      <c r="F455" s="32">
        <v>20</v>
      </c>
      <c r="G455" s="33" t="s">
        <v>276</v>
      </c>
      <c r="J455" s="76" t="s">
        <v>751</v>
      </c>
      <c r="K455" s="76"/>
      <c r="M455" s="3"/>
      <c r="N455" s="1" t="s">
        <v>275</v>
      </c>
    </row>
    <row r="456" spans="2:16" x14ac:dyDescent="0.25">
      <c r="C456" s="122"/>
      <c r="E456" s="26" t="s">
        <v>352</v>
      </c>
      <c r="F456" s="32"/>
      <c r="G456" s="33" t="s">
        <v>361</v>
      </c>
      <c r="J456" s="76"/>
      <c r="K456" s="76"/>
      <c r="M456" s="5">
        <f>M453</f>
        <v>0</v>
      </c>
      <c r="N456" s="1" t="s">
        <v>362</v>
      </c>
    </row>
    <row r="457" spans="2:16" x14ac:dyDescent="0.25">
      <c r="C457" s="122"/>
      <c r="D457" s="26" t="s">
        <v>359</v>
      </c>
      <c r="F457" s="32">
        <v>0</v>
      </c>
      <c r="G457" s="33" t="s">
        <v>358</v>
      </c>
      <c r="J457" s="76"/>
      <c r="K457" s="76"/>
      <c r="M457" s="3"/>
      <c r="N457" s="1" t="s">
        <v>360</v>
      </c>
    </row>
    <row r="458" spans="2:16" x14ac:dyDescent="0.25">
      <c r="C458" s="122"/>
      <c r="D458" s="26" t="s">
        <v>67</v>
      </c>
      <c r="E458" s="26" t="s">
        <v>279</v>
      </c>
      <c r="F458" s="32">
        <v>250</v>
      </c>
      <c r="G458" s="33" t="s">
        <v>17</v>
      </c>
      <c r="J458" s="76"/>
      <c r="K458" s="76"/>
      <c r="M458" s="3"/>
      <c r="N458" s="1" t="s">
        <v>355</v>
      </c>
      <c r="O458" s="3"/>
      <c r="P458" s="1" t="s">
        <v>224</v>
      </c>
    </row>
    <row r="459" spans="2:16" x14ac:dyDescent="0.25">
      <c r="C459" s="122"/>
      <c r="D459" s="26" t="s">
        <v>348</v>
      </c>
      <c r="E459" s="26" t="s">
        <v>279</v>
      </c>
      <c r="F459" s="32">
        <v>250</v>
      </c>
      <c r="G459" s="33" t="s">
        <v>17</v>
      </c>
      <c r="J459" s="76"/>
      <c r="K459" s="76"/>
      <c r="M459" s="3"/>
      <c r="N459" s="1" t="s">
        <v>356</v>
      </c>
      <c r="O459" s="3"/>
      <c r="P459" s="1" t="s">
        <v>224</v>
      </c>
    </row>
    <row r="460" spans="2:16" x14ac:dyDescent="0.25">
      <c r="C460" s="122"/>
      <c r="D460" s="26" t="s">
        <v>349</v>
      </c>
      <c r="E460" s="26" t="s">
        <v>238</v>
      </c>
      <c r="F460" s="39" t="s">
        <v>227</v>
      </c>
      <c r="J460" s="76"/>
      <c r="K460" s="76"/>
      <c r="M460" s="3"/>
      <c r="N460" s="1" t="s">
        <v>225</v>
      </c>
      <c r="O460" s="3"/>
      <c r="P460" s="1" t="s">
        <v>229</v>
      </c>
    </row>
    <row r="461" spans="2:16" x14ac:dyDescent="0.25">
      <c r="C461" s="122"/>
      <c r="J461" s="76"/>
      <c r="K461" s="76"/>
      <c r="M461" s="3"/>
      <c r="N461" s="1" t="s">
        <v>226</v>
      </c>
    </row>
    <row r="462" spans="2:16" x14ac:dyDescent="0.25">
      <c r="C462" s="122"/>
      <c r="J462" s="76"/>
      <c r="K462" s="76"/>
      <c r="M462" s="3"/>
      <c r="N462" s="1" t="s">
        <v>252</v>
      </c>
    </row>
    <row r="463" spans="2:16" x14ac:dyDescent="0.25">
      <c r="C463" s="122"/>
      <c r="D463" s="26" t="s">
        <v>353</v>
      </c>
      <c r="E463" s="26" t="s">
        <v>11</v>
      </c>
      <c r="F463" s="32">
        <v>20</v>
      </c>
      <c r="G463" s="33" t="s">
        <v>276</v>
      </c>
      <c r="J463" s="76" t="s">
        <v>751</v>
      </c>
      <c r="K463" s="76"/>
      <c r="M463" s="3"/>
      <c r="N463" s="1" t="s">
        <v>275</v>
      </c>
    </row>
    <row r="464" spans="2:16" x14ac:dyDescent="0.25">
      <c r="C464" s="122"/>
      <c r="D464" s="26" t="s">
        <v>354</v>
      </c>
      <c r="E464" s="26" t="s">
        <v>238</v>
      </c>
      <c r="F464" s="39" t="s">
        <v>227</v>
      </c>
      <c r="J464" s="76"/>
      <c r="K464" s="76"/>
      <c r="M464" s="3"/>
      <c r="N464" s="1" t="s">
        <v>225</v>
      </c>
      <c r="O464" s="3"/>
      <c r="P464" s="1" t="s">
        <v>229</v>
      </c>
    </row>
    <row r="465" spans="2:53" x14ac:dyDescent="0.25">
      <c r="C465" s="122"/>
      <c r="J465" s="76"/>
      <c r="K465" s="76"/>
      <c r="M465" s="3"/>
      <c r="N465" s="1" t="s">
        <v>226</v>
      </c>
    </row>
    <row r="466" spans="2:53" ht="15.75" thickBot="1" x14ac:dyDescent="0.3">
      <c r="C466" s="123"/>
      <c r="J466" s="76"/>
      <c r="K466" s="76"/>
      <c r="M466" s="3"/>
      <c r="N466" s="1" t="s">
        <v>252</v>
      </c>
    </row>
    <row r="467" spans="2:53" ht="15.75" thickBot="1" x14ac:dyDescent="0.3">
      <c r="J467" s="76"/>
      <c r="K467" s="76"/>
    </row>
    <row r="468" spans="2:53" x14ac:dyDescent="0.25">
      <c r="B468" s="23">
        <v>1</v>
      </c>
      <c r="C468" s="121" t="s">
        <v>657</v>
      </c>
      <c r="D468" s="26" t="s">
        <v>346</v>
      </c>
      <c r="E468" s="26" t="s">
        <v>238</v>
      </c>
      <c r="F468" s="39" t="s">
        <v>227</v>
      </c>
      <c r="J468" s="76"/>
      <c r="K468" s="76"/>
      <c r="M468" s="3">
        <v>30</v>
      </c>
      <c r="N468" s="1" t="s">
        <v>225</v>
      </c>
      <c r="O468" s="3">
        <v>1</v>
      </c>
      <c r="P468" s="1" t="s">
        <v>229</v>
      </c>
      <c r="S468" s="27">
        <f>(HLOOKUP(M469,$AR$19:$AU$31,$AO$20,FALSE)+ROUNDUP(M470,0)*(HLOOKUP(M469,$AR$19:$AU$31,$AO$22,FALSE)+HLOOKUP(M469,$AR$19:$AU$31,$AO$24,FALSE)+M468*HLOOKUP(M469,$AR$19:$AU$31,$AO$23,FALSE)+(M468+HLOOKUP(M469,$AR$19:$AU$31,$AO$27,FALSE))*HLOOKUP(M469,$AR$19:$AU$31,$AO$25,FALSE))+(M468+HLOOKUP(M469,$AR$19:$AU$31,$AO$28,FALSE))*IF(M470&gt;0.5,HLOOKUP(M469,$AR$19:$AU$31,$AO$30,FALSE),HLOOKUP(M469,$AR$19:$AU$31,$AO$31,FALSE)))*O468</f>
        <v>167832.73199999999</v>
      </c>
      <c r="U468" s="3" t="s">
        <v>176</v>
      </c>
      <c r="W468" s="45">
        <f>VLOOKUP($U468,'Regional splits'!$B$15:$R$22,W$5,FALSE)</f>
        <v>0</v>
      </c>
      <c r="X468" s="45">
        <f>VLOOKUP($U468,'Regional splits'!$B$15:$R$22,X$5,FALSE)</f>
        <v>0</v>
      </c>
      <c r="Y468" s="45">
        <f>VLOOKUP($U468,'Regional splits'!$B$15:$R$22,Y$5,FALSE)</f>
        <v>0</v>
      </c>
      <c r="Z468" s="45">
        <f>VLOOKUP($U468,'Regional splits'!$B$15:$R$22,Z$5,FALSE)</f>
        <v>0</v>
      </c>
      <c r="AA468" s="45">
        <f>VLOOKUP($U468,'Regional splits'!$B$15:$R$22,AA$5,FALSE)</f>
        <v>0</v>
      </c>
      <c r="AB468" s="45">
        <f>VLOOKUP($U468,'Regional splits'!$B$15:$R$22,AB$5,FALSE)</f>
        <v>0</v>
      </c>
      <c r="AC468" s="45">
        <f>VLOOKUP($U468,'Regional splits'!$B$15:$R$22,AC$5,FALSE)</f>
        <v>0</v>
      </c>
      <c r="AD468" s="45">
        <f>VLOOKUP($U468,'Regional splits'!$B$15:$R$22,AD$5,FALSE)</f>
        <v>0</v>
      </c>
      <c r="AE468" s="45">
        <f>VLOOKUP($U468,'Regional splits'!$B$15:$R$22,AE$5,FALSE)</f>
        <v>0</v>
      </c>
      <c r="AF468" s="45">
        <f>VLOOKUP($U468,'Regional splits'!$B$15:$R$22,AF$5,FALSE)</f>
        <v>0</v>
      </c>
      <c r="AG468" s="45">
        <f>VLOOKUP($U468,'Regional splits'!$B$15:$R$22,AG$5,FALSE)</f>
        <v>0</v>
      </c>
      <c r="AH468" s="45">
        <f>VLOOKUP($U468,'Regional splits'!$B$15:$R$22,AH$5,FALSE)</f>
        <v>0</v>
      </c>
      <c r="AI468" s="45">
        <f>VLOOKUP($U468,'Regional splits'!$B$15:$R$22,AI$5,FALSE)</f>
        <v>0</v>
      </c>
      <c r="AJ468" s="45">
        <f>VLOOKUP($U468,'Regional splits'!$B$15:$R$22,AJ$5,FALSE)</f>
        <v>0</v>
      </c>
      <c r="AK468" s="45">
        <f>VLOOKUP($U468,'Regional splits'!$B$15:$R$22,AK$5,FALSE)</f>
        <v>0</v>
      </c>
      <c r="AL468" s="45">
        <f>VLOOKUP($U468,'Regional splits'!$B$15:$R$22,AL$5,FALSE)</f>
        <v>1</v>
      </c>
      <c r="AN468" s="3">
        <v>2017</v>
      </c>
      <c r="AP468">
        <f t="shared" ref="AP468:AX468" si="64">IF(ISNUMBER(SEARCH(AP$3,$AN468)),1,0)</f>
        <v>0</v>
      </c>
      <c r="AQ468">
        <f t="shared" si="64"/>
        <v>0</v>
      </c>
      <c r="AR468">
        <f t="shared" si="64"/>
        <v>0</v>
      </c>
      <c r="AS468">
        <f t="shared" si="64"/>
        <v>0</v>
      </c>
      <c r="AT468">
        <f t="shared" si="64"/>
        <v>1</v>
      </c>
      <c r="AU468">
        <f t="shared" si="64"/>
        <v>0</v>
      </c>
      <c r="AV468">
        <f t="shared" si="64"/>
        <v>0</v>
      </c>
      <c r="AW468">
        <f t="shared" si="64"/>
        <v>0</v>
      </c>
      <c r="AX468">
        <f t="shared" si="64"/>
        <v>0</v>
      </c>
      <c r="AY468">
        <f>IF(ISNUMBER(SEARCH(AY$3,$AN468)),1,0)</f>
        <v>0</v>
      </c>
      <c r="BA468" s="31">
        <f>S468*COUNTIFS(AP468:AY468,"1",$AP$4:$AY$4,"TRUE")</f>
        <v>167832.73199999999</v>
      </c>
    </row>
    <row r="469" spans="2:53" x14ac:dyDescent="0.25">
      <c r="C469" s="122"/>
      <c r="J469" s="76"/>
      <c r="K469" s="76"/>
      <c r="M469" s="3" t="s">
        <v>47</v>
      </c>
      <c r="N469" s="1" t="s">
        <v>226</v>
      </c>
    </row>
    <row r="470" spans="2:53" ht="15.75" thickBot="1" x14ac:dyDescent="0.3">
      <c r="C470" s="123"/>
      <c r="J470" s="76"/>
      <c r="K470" s="76"/>
      <c r="M470" s="3">
        <v>5</v>
      </c>
      <c r="N470" s="1" t="s">
        <v>252</v>
      </c>
    </row>
    <row r="471" spans="2:53" ht="15.75" thickBot="1" x14ac:dyDescent="0.3">
      <c r="D471"/>
      <c r="E471"/>
      <c r="F471"/>
      <c r="G471"/>
      <c r="H471"/>
      <c r="I471"/>
      <c r="J471" s="12"/>
      <c r="K471" s="12"/>
      <c r="S471"/>
      <c r="BA471"/>
    </row>
    <row r="472" spans="2:53" x14ac:dyDescent="0.25">
      <c r="B472" s="23">
        <v>1</v>
      </c>
      <c r="C472" s="121" t="s">
        <v>658</v>
      </c>
      <c r="D472" s="26" t="s">
        <v>347</v>
      </c>
      <c r="E472" s="26" t="s">
        <v>238</v>
      </c>
      <c r="F472" s="39" t="s">
        <v>227</v>
      </c>
      <c r="J472" s="76"/>
      <c r="K472" s="76"/>
      <c r="M472" s="3">
        <v>30</v>
      </c>
      <c r="N472" s="1" t="s">
        <v>225</v>
      </c>
      <c r="O472" s="3">
        <v>1</v>
      </c>
      <c r="P472" s="1" t="s">
        <v>229</v>
      </c>
      <c r="S472" s="27">
        <f>(HLOOKUP(M473,$AR$19:$AU$31,$AO$20,FALSE)+ROUNDUP(M474,0)*(HLOOKUP(M473,$AR$19:$AU$31,$AO$22,FALSE)+HLOOKUP(M473,$AR$19:$AU$31,$AO$24,FALSE)+M472*HLOOKUP(M473,$AR$19:$AU$31,$AO$23,FALSE)+(M472+HLOOKUP(M473,$AR$19:$AU$31,$AO$27,FALSE))*HLOOKUP(M473,$AR$19:$AU$31,$AO$25,FALSE))+(M472+HLOOKUP(M473,$AR$19:$AU$31,$AO$28,FALSE))*IF(M474&gt;0.5,HLOOKUP(M473,$AR$19:$AU$31,$AO$30,FALSE),HLOOKUP(M473,$AR$19:$AU$31,$AO$31,FALSE)))*O472</f>
        <v>69842.615999999995</v>
      </c>
      <c r="U472" s="3" t="s">
        <v>176</v>
      </c>
      <c r="W472" s="45">
        <f>VLOOKUP($U472,'Regional splits'!$B$15:$R$22,W$5,FALSE)</f>
        <v>0</v>
      </c>
      <c r="X472" s="45">
        <f>VLOOKUP($U472,'Regional splits'!$B$15:$R$22,X$5,FALSE)</f>
        <v>0</v>
      </c>
      <c r="Y472" s="45">
        <f>VLOOKUP($U472,'Regional splits'!$B$15:$R$22,Y$5,FALSE)</f>
        <v>0</v>
      </c>
      <c r="Z472" s="45">
        <f>VLOOKUP($U472,'Regional splits'!$B$15:$R$22,Z$5,FALSE)</f>
        <v>0</v>
      </c>
      <c r="AA472" s="45">
        <f>VLOOKUP($U472,'Regional splits'!$B$15:$R$22,AA$5,FALSE)</f>
        <v>0</v>
      </c>
      <c r="AB472" s="45">
        <f>VLOOKUP($U472,'Regional splits'!$B$15:$R$22,AB$5,FALSE)</f>
        <v>0</v>
      </c>
      <c r="AC472" s="45">
        <f>VLOOKUP($U472,'Regional splits'!$B$15:$R$22,AC$5,FALSE)</f>
        <v>0</v>
      </c>
      <c r="AD472" s="45">
        <f>VLOOKUP($U472,'Regional splits'!$B$15:$R$22,AD$5,FALSE)</f>
        <v>0</v>
      </c>
      <c r="AE472" s="45">
        <f>VLOOKUP($U472,'Regional splits'!$B$15:$R$22,AE$5,FALSE)</f>
        <v>0</v>
      </c>
      <c r="AF472" s="45">
        <f>VLOOKUP($U472,'Regional splits'!$B$15:$R$22,AF$5,FALSE)</f>
        <v>0</v>
      </c>
      <c r="AG472" s="45">
        <f>VLOOKUP($U472,'Regional splits'!$B$15:$R$22,AG$5,FALSE)</f>
        <v>0</v>
      </c>
      <c r="AH472" s="45">
        <f>VLOOKUP($U472,'Regional splits'!$B$15:$R$22,AH$5,FALSE)</f>
        <v>0</v>
      </c>
      <c r="AI472" s="45">
        <f>VLOOKUP($U472,'Regional splits'!$B$15:$R$22,AI$5,FALSE)</f>
        <v>0</v>
      </c>
      <c r="AJ472" s="45">
        <f>VLOOKUP($U472,'Regional splits'!$B$15:$R$22,AJ$5,FALSE)</f>
        <v>0</v>
      </c>
      <c r="AK472" s="45">
        <f>VLOOKUP($U472,'Regional splits'!$B$15:$R$22,AK$5,FALSE)</f>
        <v>0</v>
      </c>
      <c r="AL472" s="45">
        <f>VLOOKUP($U472,'Regional splits'!$B$15:$R$22,AL$5,FALSE)</f>
        <v>1</v>
      </c>
      <c r="AN472" s="3">
        <v>2019</v>
      </c>
      <c r="AP472">
        <f t="shared" ref="AP472:AX472" si="65">IF(ISNUMBER(SEARCH(AP$3,$AN472)),1,0)</f>
        <v>0</v>
      </c>
      <c r="AQ472">
        <f t="shared" si="65"/>
        <v>0</v>
      </c>
      <c r="AR472">
        <f t="shared" si="65"/>
        <v>0</v>
      </c>
      <c r="AS472">
        <f t="shared" si="65"/>
        <v>0</v>
      </c>
      <c r="AT472">
        <f t="shared" si="65"/>
        <v>0</v>
      </c>
      <c r="AU472">
        <f t="shared" si="65"/>
        <v>0</v>
      </c>
      <c r="AV472">
        <f t="shared" si="65"/>
        <v>1</v>
      </c>
      <c r="AW472">
        <f t="shared" si="65"/>
        <v>0</v>
      </c>
      <c r="AX472">
        <f t="shared" si="65"/>
        <v>0</v>
      </c>
      <c r="AY472">
        <f>IF(ISNUMBER(SEARCH(AY$3,$AN472)),1,0)</f>
        <v>0</v>
      </c>
      <c r="BA472" s="31">
        <f>S472*COUNTIFS(AP472:AY472,"1",$AP$4:$AY$4,"TRUE")</f>
        <v>69842.615999999995</v>
      </c>
    </row>
    <row r="473" spans="2:53" x14ac:dyDescent="0.25">
      <c r="C473" s="122"/>
      <c r="J473" s="76"/>
      <c r="K473" s="76"/>
      <c r="M473" s="3" t="s">
        <v>47</v>
      </c>
      <c r="N473" s="1" t="s">
        <v>226</v>
      </c>
    </row>
    <row r="474" spans="2:53" ht="15.75" thickBot="1" x14ac:dyDescent="0.3">
      <c r="C474" s="123"/>
      <c r="J474" s="76"/>
      <c r="K474" s="76"/>
      <c r="M474" s="3">
        <v>2</v>
      </c>
      <c r="N474" s="1" t="s">
        <v>252</v>
      </c>
    </row>
    <row r="475" spans="2:53" ht="15.75" thickBot="1" x14ac:dyDescent="0.3">
      <c r="J475" s="76"/>
      <c r="K475" s="76"/>
    </row>
    <row r="476" spans="2:53" x14ac:dyDescent="0.25">
      <c r="B476" s="23">
        <v>1</v>
      </c>
      <c r="C476" s="121" t="s">
        <v>629</v>
      </c>
      <c r="D476" s="26" t="s">
        <v>639</v>
      </c>
      <c r="E476" s="26" t="s">
        <v>637</v>
      </c>
      <c r="F476" s="32">
        <f>65000*1.5*2</f>
        <v>195000</v>
      </c>
      <c r="G476" s="33" t="s">
        <v>122</v>
      </c>
      <c r="H476" s="26" t="s">
        <v>636</v>
      </c>
      <c r="J476" s="76"/>
      <c r="K476" s="76"/>
      <c r="M476" s="3">
        <v>1</v>
      </c>
      <c r="N476" s="1" t="s">
        <v>446</v>
      </c>
      <c r="S476" s="27">
        <f>SUMPRODUCT(F476:F481,M476:M481)</f>
        <v>617500</v>
      </c>
      <c r="U476" s="3" t="s">
        <v>176</v>
      </c>
      <c r="W476" s="45">
        <f>VLOOKUP($U476,'Regional splits'!$B$15:$R$22,W$5,FALSE)</f>
        <v>0</v>
      </c>
      <c r="X476" s="45">
        <f>VLOOKUP($U476,'Regional splits'!$B$15:$R$22,X$5,FALSE)</f>
        <v>0</v>
      </c>
      <c r="Y476" s="45">
        <f>VLOOKUP($U476,'Regional splits'!$B$15:$R$22,Y$5,FALSE)</f>
        <v>0</v>
      </c>
      <c r="Z476" s="45">
        <f>VLOOKUP($U476,'Regional splits'!$B$15:$R$22,Z$5,FALSE)</f>
        <v>0</v>
      </c>
      <c r="AA476" s="45">
        <f>VLOOKUP($U476,'Regional splits'!$B$15:$R$22,AA$5,FALSE)</f>
        <v>0</v>
      </c>
      <c r="AB476" s="45">
        <f>VLOOKUP($U476,'Regional splits'!$B$15:$R$22,AB$5,FALSE)</f>
        <v>0</v>
      </c>
      <c r="AC476" s="45">
        <f>VLOOKUP($U476,'Regional splits'!$B$15:$R$22,AC$5,FALSE)</f>
        <v>0</v>
      </c>
      <c r="AD476" s="45">
        <f>VLOOKUP($U476,'Regional splits'!$B$15:$R$22,AD$5,FALSE)</f>
        <v>0</v>
      </c>
      <c r="AE476" s="45">
        <f>VLOOKUP($U476,'Regional splits'!$B$15:$R$22,AE$5,FALSE)</f>
        <v>0</v>
      </c>
      <c r="AF476" s="45">
        <f>VLOOKUP($U476,'Regional splits'!$B$15:$R$22,AF$5,FALSE)</f>
        <v>0</v>
      </c>
      <c r="AG476" s="45">
        <f>VLOOKUP($U476,'Regional splits'!$B$15:$R$22,AG$5,FALSE)</f>
        <v>0</v>
      </c>
      <c r="AH476" s="45">
        <f>VLOOKUP($U476,'Regional splits'!$B$15:$R$22,AH$5,FALSE)</f>
        <v>0</v>
      </c>
      <c r="AI476" s="45">
        <f>VLOOKUP($U476,'Regional splits'!$B$15:$R$22,AI$5,FALSE)</f>
        <v>0</v>
      </c>
      <c r="AJ476" s="45">
        <f>VLOOKUP($U476,'Regional splits'!$B$15:$R$22,AJ$5,FALSE)</f>
        <v>0</v>
      </c>
      <c r="AK476" s="45">
        <f>VLOOKUP($U476,'Regional splits'!$B$15:$R$22,AK$5,FALSE)</f>
        <v>0</v>
      </c>
      <c r="AL476" s="45">
        <f>VLOOKUP($U476,'Regional splits'!$B$15:$R$22,AL$5,FALSE)</f>
        <v>1</v>
      </c>
      <c r="AN476" s="3" t="s">
        <v>222</v>
      </c>
      <c r="AP476">
        <f t="shared" ref="AP476:AX476" si="66">IF(ISNUMBER(SEARCH(AP$3,$AN476)),1,0)</f>
        <v>1</v>
      </c>
      <c r="AQ476">
        <f t="shared" si="66"/>
        <v>1</v>
      </c>
      <c r="AR476">
        <f t="shared" si="66"/>
        <v>1</v>
      </c>
      <c r="AS476">
        <f t="shared" si="66"/>
        <v>1</v>
      </c>
      <c r="AT476">
        <f t="shared" si="66"/>
        <v>1</v>
      </c>
      <c r="AU476">
        <f t="shared" si="66"/>
        <v>1</v>
      </c>
      <c r="AV476">
        <f t="shared" si="66"/>
        <v>1</v>
      </c>
      <c r="AW476">
        <f t="shared" si="66"/>
        <v>1</v>
      </c>
      <c r="AX476">
        <f t="shared" si="66"/>
        <v>0</v>
      </c>
      <c r="AY476">
        <f>IF(ISNUMBER(SEARCH(AY$3,$AN476)),1,0)</f>
        <v>0</v>
      </c>
      <c r="BA476" s="31">
        <f>S476*COUNTIFS(AP476:AY476,"1",$AP$4:$AY$4,"TRUE")</f>
        <v>4940000</v>
      </c>
    </row>
    <row r="477" spans="2:53" x14ac:dyDescent="0.25">
      <c r="B477" s="23">
        <v>1</v>
      </c>
      <c r="C477" s="122"/>
      <c r="D477" s="26" t="s">
        <v>640</v>
      </c>
      <c r="E477" s="26" t="s">
        <v>637</v>
      </c>
      <c r="F477" s="32">
        <f>F476*5/6</f>
        <v>162500</v>
      </c>
      <c r="G477" s="33" t="s">
        <v>122</v>
      </c>
      <c r="H477" s="26" t="s">
        <v>638</v>
      </c>
      <c r="J477" s="76"/>
      <c r="K477" s="76"/>
      <c r="M477" s="3">
        <v>1</v>
      </c>
      <c r="N477" s="1" t="s">
        <v>446</v>
      </c>
    </row>
    <row r="478" spans="2:53" x14ac:dyDescent="0.25">
      <c r="B478" s="23">
        <v>1</v>
      </c>
      <c r="C478" s="122"/>
      <c r="D478" s="26" t="s">
        <v>641</v>
      </c>
      <c r="E478" s="26" t="s">
        <v>637</v>
      </c>
      <c r="F478" s="32">
        <f>F476*4/6</f>
        <v>130000</v>
      </c>
      <c r="G478" s="33" t="s">
        <v>122</v>
      </c>
      <c r="H478" s="26" t="s">
        <v>643</v>
      </c>
      <c r="J478" s="76"/>
      <c r="K478" s="76"/>
      <c r="M478" s="3">
        <v>2</v>
      </c>
      <c r="N478" s="1" t="s">
        <v>446</v>
      </c>
    </row>
    <row r="479" spans="2:53" x14ac:dyDescent="0.25">
      <c r="B479" s="23">
        <v>1</v>
      </c>
      <c r="C479" s="122"/>
      <c r="D479" s="26" t="s">
        <v>642</v>
      </c>
      <c r="E479" s="26" t="s">
        <v>637</v>
      </c>
      <c r="F479" s="32">
        <f>F476*7/12</f>
        <v>113750</v>
      </c>
      <c r="G479" s="33" t="s">
        <v>122</v>
      </c>
      <c r="H479" s="26" t="s">
        <v>644</v>
      </c>
      <c r="J479" s="76"/>
      <c r="K479" s="76"/>
      <c r="M479" s="3">
        <v>0</v>
      </c>
      <c r="N479" s="1" t="s">
        <v>446</v>
      </c>
    </row>
    <row r="480" spans="2:53" x14ac:dyDescent="0.25">
      <c r="B480" s="23">
        <v>1</v>
      </c>
      <c r="C480" s="122"/>
      <c r="D480" s="26" t="s">
        <v>120</v>
      </c>
      <c r="E480" s="26" t="s">
        <v>637</v>
      </c>
      <c r="F480" s="32"/>
      <c r="G480" s="33" t="s">
        <v>122</v>
      </c>
      <c r="J480" s="76"/>
      <c r="K480" s="76"/>
      <c r="M480" s="3">
        <v>0</v>
      </c>
      <c r="N480" s="1" t="s">
        <v>446</v>
      </c>
    </row>
    <row r="481" spans="2:53" ht="15.75" thickBot="1" x14ac:dyDescent="0.3">
      <c r="B481" s="23">
        <v>1</v>
      </c>
      <c r="C481" s="123"/>
      <c r="D481" s="26" t="s">
        <v>121</v>
      </c>
      <c r="E481" s="26" t="s">
        <v>637</v>
      </c>
      <c r="F481" s="32"/>
      <c r="G481" s="33" t="s">
        <v>122</v>
      </c>
      <c r="J481" s="76"/>
      <c r="K481" s="76"/>
      <c r="M481" s="3">
        <v>0</v>
      </c>
      <c r="N481" s="1" t="s">
        <v>446</v>
      </c>
    </row>
    <row r="482" spans="2:53" ht="15.75" thickBot="1" x14ac:dyDescent="0.3">
      <c r="J482" s="76"/>
      <c r="K482" s="76"/>
    </row>
    <row r="483" spans="2:53" ht="15" customHeight="1" x14ac:dyDescent="0.25">
      <c r="C483" s="121" t="s">
        <v>756</v>
      </c>
      <c r="D483" s="26" t="s">
        <v>103</v>
      </c>
      <c r="F483" s="32">
        <v>500</v>
      </c>
      <c r="G483" s="33" t="s">
        <v>15</v>
      </c>
      <c r="J483" s="76"/>
      <c r="K483" s="76"/>
      <c r="M483" s="3">
        <v>2</v>
      </c>
      <c r="N483" s="1" t="s">
        <v>339</v>
      </c>
      <c r="S483" s="27">
        <f>SUMPRODUCT(F483:F491,M483:M491)</f>
        <v>352100</v>
      </c>
      <c r="U483" s="3" t="s">
        <v>176</v>
      </c>
      <c r="W483" s="45">
        <f>VLOOKUP($U483,'Regional splits'!$B$15:$R$22,W$5,FALSE)</f>
        <v>0</v>
      </c>
      <c r="X483" s="45">
        <f>VLOOKUP($U483,'Regional splits'!$B$15:$R$22,X$5,FALSE)</f>
        <v>0</v>
      </c>
      <c r="Y483" s="45">
        <f>VLOOKUP($U483,'Regional splits'!$B$15:$R$22,Y$5,FALSE)</f>
        <v>0</v>
      </c>
      <c r="Z483" s="45">
        <f>VLOOKUP($U483,'Regional splits'!$B$15:$R$22,Z$5,FALSE)</f>
        <v>0</v>
      </c>
      <c r="AA483" s="45">
        <f>VLOOKUP($U483,'Regional splits'!$B$15:$R$22,AA$5,FALSE)</f>
        <v>0</v>
      </c>
      <c r="AB483" s="45">
        <f>VLOOKUP($U483,'Regional splits'!$B$15:$R$22,AB$5,FALSE)</f>
        <v>0</v>
      </c>
      <c r="AC483" s="45">
        <f>VLOOKUP($U483,'Regional splits'!$B$15:$R$22,AC$5,FALSE)</f>
        <v>0</v>
      </c>
      <c r="AD483" s="45">
        <f>VLOOKUP($U483,'Regional splits'!$B$15:$R$22,AD$5,FALSE)</f>
        <v>0</v>
      </c>
      <c r="AE483" s="45">
        <f>VLOOKUP($U483,'Regional splits'!$B$15:$R$22,AE$5,FALSE)</f>
        <v>0</v>
      </c>
      <c r="AF483" s="45">
        <f>VLOOKUP($U483,'Regional splits'!$B$15:$R$22,AF$5,FALSE)</f>
        <v>0</v>
      </c>
      <c r="AG483" s="45">
        <f>VLOOKUP($U483,'Regional splits'!$B$15:$R$22,AG$5,FALSE)</f>
        <v>0</v>
      </c>
      <c r="AH483" s="45">
        <f>VLOOKUP($U483,'Regional splits'!$B$15:$R$22,AH$5,FALSE)</f>
        <v>0</v>
      </c>
      <c r="AI483" s="45">
        <f>VLOOKUP($U483,'Regional splits'!$B$15:$R$22,AI$5,FALSE)</f>
        <v>0</v>
      </c>
      <c r="AJ483" s="45">
        <f>VLOOKUP($U483,'Regional splits'!$B$15:$R$22,AJ$5,FALSE)</f>
        <v>0</v>
      </c>
      <c r="AK483" s="45">
        <f>VLOOKUP($U483,'Regional splits'!$B$15:$R$22,AK$5,FALSE)</f>
        <v>0</v>
      </c>
      <c r="AL483" s="45">
        <f>VLOOKUP($U483,'Regional splits'!$B$15:$R$22,AL$5,FALSE)</f>
        <v>1</v>
      </c>
      <c r="AN483" s="3">
        <v>2013</v>
      </c>
      <c r="AP483">
        <f t="shared" ref="AP483:AX483" si="67">IF(ISNUMBER(SEARCH(AP$3,$AN483)),1,0)</f>
        <v>1</v>
      </c>
      <c r="AQ483">
        <f t="shared" si="67"/>
        <v>0</v>
      </c>
      <c r="AR483">
        <f t="shared" si="67"/>
        <v>0</v>
      </c>
      <c r="AS483">
        <f t="shared" si="67"/>
        <v>0</v>
      </c>
      <c r="AT483">
        <f t="shared" si="67"/>
        <v>0</v>
      </c>
      <c r="AU483">
        <f t="shared" si="67"/>
        <v>0</v>
      </c>
      <c r="AV483">
        <f t="shared" si="67"/>
        <v>0</v>
      </c>
      <c r="AW483">
        <f t="shared" si="67"/>
        <v>0</v>
      </c>
      <c r="AX483">
        <f t="shared" si="67"/>
        <v>0</v>
      </c>
      <c r="AY483">
        <f>IF(ISNUMBER(SEARCH(AY$3,$AN483)),1,0)</f>
        <v>0</v>
      </c>
      <c r="BA483" s="31">
        <f>S483*COUNTIFS(AP483:AY483,"1",$AP$4:$AY$4,"TRUE")</f>
        <v>352100</v>
      </c>
    </row>
    <row r="484" spans="2:53" x14ac:dyDescent="0.25">
      <c r="C484" s="122"/>
      <c r="D484" s="26" t="s">
        <v>104</v>
      </c>
      <c r="F484" s="32">
        <v>300</v>
      </c>
      <c r="G484" s="33" t="s">
        <v>15</v>
      </c>
      <c r="J484" s="76"/>
      <c r="K484" s="76"/>
      <c r="M484" s="3">
        <v>4</v>
      </c>
      <c r="N484" s="1" t="s">
        <v>339</v>
      </c>
    </row>
    <row r="485" spans="2:53" x14ac:dyDescent="0.25">
      <c r="C485" s="122"/>
      <c r="D485" s="26" t="s">
        <v>105</v>
      </c>
      <c r="F485" s="32">
        <v>400</v>
      </c>
      <c r="G485" s="33" t="s">
        <v>15</v>
      </c>
      <c r="J485" s="76"/>
      <c r="K485" s="76"/>
      <c r="M485" s="3">
        <v>4</v>
      </c>
      <c r="N485" s="1" t="s">
        <v>339</v>
      </c>
    </row>
    <row r="486" spans="2:53" x14ac:dyDescent="0.25">
      <c r="C486" s="122"/>
      <c r="D486" s="26" t="s">
        <v>124</v>
      </c>
      <c r="F486" s="32"/>
      <c r="G486" s="33" t="s">
        <v>15</v>
      </c>
      <c r="J486" s="76"/>
      <c r="K486" s="76"/>
      <c r="M486" s="3">
        <v>0</v>
      </c>
      <c r="N486" s="1" t="s">
        <v>339</v>
      </c>
    </row>
    <row r="487" spans="2:53" x14ac:dyDescent="0.25">
      <c r="B487" s="23">
        <v>1</v>
      </c>
      <c r="C487" s="122"/>
      <c r="D487" s="26" t="s">
        <v>125</v>
      </c>
      <c r="F487" s="32">
        <f>2000*5.4</f>
        <v>10800</v>
      </c>
      <c r="G487" s="33" t="s">
        <v>15</v>
      </c>
      <c r="J487" s="76"/>
      <c r="K487" s="76"/>
      <c r="M487" s="3">
        <v>4</v>
      </c>
      <c r="N487" s="1" t="s">
        <v>339</v>
      </c>
    </row>
    <row r="488" spans="2:53" x14ac:dyDescent="0.25">
      <c r="C488" s="122"/>
      <c r="D488" s="26" t="s">
        <v>107</v>
      </c>
      <c r="F488" s="32">
        <f>500*5.4</f>
        <v>2700</v>
      </c>
      <c r="G488" s="33" t="s">
        <v>15</v>
      </c>
      <c r="J488" s="76"/>
      <c r="K488" s="76"/>
      <c r="M488" s="3">
        <v>3</v>
      </c>
      <c r="N488" s="1" t="s">
        <v>339</v>
      </c>
    </row>
    <row r="489" spans="2:53" x14ac:dyDescent="0.25">
      <c r="C489" s="122"/>
      <c r="D489" s="26" t="s">
        <v>108</v>
      </c>
      <c r="F489" s="32"/>
      <c r="G489" s="33" t="s">
        <v>15</v>
      </c>
      <c r="J489" s="76"/>
      <c r="K489" s="76"/>
      <c r="M489" s="3">
        <v>0</v>
      </c>
      <c r="N489" s="1" t="s">
        <v>339</v>
      </c>
    </row>
    <row r="490" spans="2:53" x14ac:dyDescent="0.25">
      <c r="C490" s="122"/>
      <c r="D490" s="26" t="s">
        <v>106</v>
      </c>
      <c r="F490" s="32"/>
      <c r="G490" s="33" t="s">
        <v>15</v>
      </c>
      <c r="J490" s="76"/>
      <c r="K490" s="76"/>
      <c r="M490" s="3">
        <v>0</v>
      </c>
      <c r="N490" s="1" t="s">
        <v>339</v>
      </c>
    </row>
    <row r="491" spans="2:53" ht="15.75" thickBot="1" x14ac:dyDescent="0.3">
      <c r="B491" s="23">
        <v>1</v>
      </c>
      <c r="C491" s="123"/>
      <c r="D491" s="42" t="s">
        <v>72</v>
      </c>
      <c r="F491" s="32">
        <f>55000*5.4</f>
        <v>297000</v>
      </c>
      <c r="G491" s="33" t="s">
        <v>15</v>
      </c>
      <c r="J491" s="76"/>
      <c r="K491" s="76"/>
      <c r="M491" s="3">
        <v>1</v>
      </c>
      <c r="N491" s="1" t="s">
        <v>339</v>
      </c>
    </row>
    <row r="492" spans="2:53" ht="15.75" thickBot="1" x14ac:dyDescent="0.3">
      <c r="J492" s="76"/>
      <c r="K492" s="76"/>
    </row>
    <row r="493" spans="2:53" x14ac:dyDescent="0.25">
      <c r="C493" s="121" t="s">
        <v>757</v>
      </c>
      <c r="D493" s="26" t="s">
        <v>125</v>
      </c>
      <c r="F493" s="27">
        <f>F487</f>
        <v>10800</v>
      </c>
      <c r="G493" s="33" t="s">
        <v>15</v>
      </c>
      <c r="J493" s="76"/>
      <c r="K493" s="76"/>
      <c r="M493" s="3">
        <v>4</v>
      </c>
      <c r="N493" s="1" t="s">
        <v>339</v>
      </c>
      <c r="S493" s="27">
        <f>SUMPRODUCT(F493:F494,M493:M494)</f>
        <v>43200</v>
      </c>
      <c r="U493" s="3" t="s">
        <v>176</v>
      </c>
      <c r="W493" s="45">
        <f>VLOOKUP($U493,'Regional splits'!$B$15:$R$22,W$5,FALSE)</f>
        <v>0</v>
      </c>
      <c r="X493" s="45">
        <f>VLOOKUP($U493,'Regional splits'!$B$15:$R$22,X$5,FALSE)</f>
        <v>0</v>
      </c>
      <c r="Y493" s="45">
        <f>VLOOKUP($U493,'Regional splits'!$B$15:$R$22,Y$5,FALSE)</f>
        <v>0</v>
      </c>
      <c r="Z493" s="45">
        <f>VLOOKUP($U493,'Regional splits'!$B$15:$R$22,Z$5,FALSE)</f>
        <v>0</v>
      </c>
      <c r="AA493" s="45">
        <f>VLOOKUP($U493,'Regional splits'!$B$15:$R$22,AA$5,FALSE)</f>
        <v>0</v>
      </c>
      <c r="AB493" s="45">
        <f>VLOOKUP($U493,'Regional splits'!$B$15:$R$22,AB$5,FALSE)</f>
        <v>0</v>
      </c>
      <c r="AC493" s="45">
        <f>VLOOKUP($U493,'Regional splits'!$B$15:$R$22,AC$5,FALSE)</f>
        <v>0</v>
      </c>
      <c r="AD493" s="45">
        <f>VLOOKUP($U493,'Regional splits'!$B$15:$R$22,AD$5,FALSE)</f>
        <v>0</v>
      </c>
      <c r="AE493" s="45">
        <f>VLOOKUP($U493,'Regional splits'!$B$15:$R$22,AE$5,FALSE)</f>
        <v>0</v>
      </c>
      <c r="AF493" s="45">
        <f>VLOOKUP($U493,'Regional splits'!$B$15:$R$22,AF$5,FALSE)</f>
        <v>0</v>
      </c>
      <c r="AG493" s="45">
        <f>VLOOKUP($U493,'Regional splits'!$B$15:$R$22,AG$5,FALSE)</f>
        <v>0</v>
      </c>
      <c r="AH493" s="45">
        <f>VLOOKUP($U493,'Regional splits'!$B$15:$R$22,AH$5,FALSE)</f>
        <v>0</v>
      </c>
      <c r="AI493" s="45">
        <f>VLOOKUP($U493,'Regional splits'!$B$15:$R$22,AI$5,FALSE)</f>
        <v>0</v>
      </c>
      <c r="AJ493" s="45">
        <f>VLOOKUP($U493,'Regional splits'!$B$15:$R$22,AJ$5,FALSE)</f>
        <v>0</v>
      </c>
      <c r="AK493" s="45">
        <f>VLOOKUP($U493,'Regional splits'!$B$15:$R$22,AK$5,FALSE)</f>
        <v>0</v>
      </c>
      <c r="AL493" s="45">
        <f>VLOOKUP($U493,'Regional splits'!$B$15:$R$22,AL$5,FALSE)</f>
        <v>1</v>
      </c>
      <c r="AN493" s="3">
        <v>2017</v>
      </c>
      <c r="AP493">
        <f t="shared" ref="AP493:AX493" si="68">IF(ISNUMBER(SEARCH(AP$3,$AN493)),1,0)</f>
        <v>0</v>
      </c>
      <c r="AQ493">
        <f t="shared" si="68"/>
        <v>0</v>
      </c>
      <c r="AR493">
        <f t="shared" si="68"/>
        <v>0</v>
      </c>
      <c r="AS493">
        <f t="shared" si="68"/>
        <v>0</v>
      </c>
      <c r="AT493">
        <f t="shared" si="68"/>
        <v>1</v>
      </c>
      <c r="AU493">
        <f t="shared" si="68"/>
        <v>0</v>
      </c>
      <c r="AV493">
        <f t="shared" si="68"/>
        <v>0</v>
      </c>
      <c r="AW493">
        <f t="shared" si="68"/>
        <v>0</v>
      </c>
      <c r="AX493">
        <f t="shared" si="68"/>
        <v>0</v>
      </c>
      <c r="AY493">
        <f>IF(ISNUMBER(SEARCH(AY$3,$AN493)),1,0)</f>
        <v>0</v>
      </c>
      <c r="BA493" s="31">
        <f>S493*COUNTIFS(AP493:AY493,"1",$AP$4:$AY$4,"TRUE")</f>
        <v>43200</v>
      </c>
    </row>
    <row r="494" spans="2:53" ht="57.75" customHeight="1" thickBot="1" x14ac:dyDescent="0.3">
      <c r="C494" s="123"/>
      <c r="D494" s="26" t="s">
        <v>72</v>
      </c>
      <c r="F494" s="27">
        <f>F491</f>
        <v>297000</v>
      </c>
      <c r="G494" s="33" t="s">
        <v>15</v>
      </c>
      <c r="J494" s="76"/>
      <c r="K494" s="76"/>
      <c r="M494" s="3">
        <v>0</v>
      </c>
      <c r="N494" s="1" t="s">
        <v>339</v>
      </c>
    </row>
    <row r="495" spans="2:53" ht="15.75" thickBot="1" x14ac:dyDescent="0.3">
      <c r="J495" s="76"/>
      <c r="K495" s="76"/>
    </row>
    <row r="496" spans="2:53" x14ac:dyDescent="0.25">
      <c r="C496" s="121" t="s">
        <v>804</v>
      </c>
      <c r="D496" s="26" t="s">
        <v>145</v>
      </c>
      <c r="F496" s="32"/>
      <c r="G496" s="33" t="s">
        <v>15</v>
      </c>
      <c r="J496" s="76"/>
      <c r="K496" s="76"/>
      <c r="M496" s="3">
        <v>0</v>
      </c>
      <c r="N496" s="1" t="s">
        <v>129</v>
      </c>
      <c r="S496" s="27">
        <f>SUMPRODUCT(F496:F499,M496:M499)</f>
        <v>800</v>
      </c>
      <c r="U496" s="3" t="s">
        <v>176</v>
      </c>
      <c r="W496" s="45">
        <f>VLOOKUP($U496,'Regional splits'!$B$15:$R$22,W$5,FALSE)</f>
        <v>0</v>
      </c>
      <c r="X496" s="45">
        <f>VLOOKUP($U496,'Regional splits'!$B$15:$R$22,X$5,FALSE)</f>
        <v>0</v>
      </c>
      <c r="Y496" s="45">
        <f>VLOOKUP($U496,'Regional splits'!$B$15:$R$22,Y$5,FALSE)</f>
        <v>0</v>
      </c>
      <c r="Z496" s="45">
        <f>VLOOKUP($U496,'Regional splits'!$B$15:$R$22,Z$5,FALSE)</f>
        <v>0</v>
      </c>
      <c r="AA496" s="45">
        <f>VLOOKUP($U496,'Regional splits'!$B$15:$R$22,AA$5,FALSE)</f>
        <v>0</v>
      </c>
      <c r="AB496" s="45">
        <f>VLOOKUP($U496,'Regional splits'!$B$15:$R$22,AB$5,FALSE)</f>
        <v>0</v>
      </c>
      <c r="AC496" s="45">
        <f>VLOOKUP($U496,'Regional splits'!$B$15:$R$22,AC$5,FALSE)</f>
        <v>0</v>
      </c>
      <c r="AD496" s="45">
        <f>VLOOKUP($U496,'Regional splits'!$B$15:$R$22,AD$5,FALSE)</f>
        <v>0</v>
      </c>
      <c r="AE496" s="45">
        <f>VLOOKUP($U496,'Regional splits'!$B$15:$R$22,AE$5,FALSE)</f>
        <v>0</v>
      </c>
      <c r="AF496" s="45">
        <f>VLOOKUP($U496,'Regional splits'!$B$15:$R$22,AF$5,FALSE)</f>
        <v>0</v>
      </c>
      <c r="AG496" s="45">
        <f>VLOOKUP($U496,'Regional splits'!$B$15:$R$22,AG$5,FALSE)</f>
        <v>0</v>
      </c>
      <c r="AH496" s="45">
        <f>VLOOKUP($U496,'Regional splits'!$B$15:$R$22,AH$5,FALSE)</f>
        <v>0</v>
      </c>
      <c r="AI496" s="45">
        <f>VLOOKUP($U496,'Regional splits'!$B$15:$R$22,AI$5,FALSE)</f>
        <v>0</v>
      </c>
      <c r="AJ496" s="45">
        <f>VLOOKUP($U496,'Regional splits'!$B$15:$R$22,AJ$5,FALSE)</f>
        <v>0</v>
      </c>
      <c r="AK496" s="45">
        <f>VLOOKUP($U496,'Regional splits'!$B$15:$R$22,AK$5,FALSE)</f>
        <v>0</v>
      </c>
      <c r="AL496" s="45">
        <f>VLOOKUP($U496,'Regional splits'!$B$15:$R$22,AL$5,FALSE)</f>
        <v>1</v>
      </c>
      <c r="AN496" s="3" t="s">
        <v>222</v>
      </c>
      <c r="AP496">
        <f t="shared" ref="AP496:AX496" si="69">IF(ISNUMBER(SEARCH(AP$3,$AN496)),1,0)</f>
        <v>1</v>
      </c>
      <c r="AQ496">
        <f t="shared" si="69"/>
        <v>1</v>
      </c>
      <c r="AR496">
        <f t="shared" si="69"/>
        <v>1</v>
      </c>
      <c r="AS496">
        <f t="shared" si="69"/>
        <v>1</v>
      </c>
      <c r="AT496">
        <f t="shared" si="69"/>
        <v>1</v>
      </c>
      <c r="AU496">
        <f t="shared" si="69"/>
        <v>1</v>
      </c>
      <c r="AV496">
        <f t="shared" si="69"/>
        <v>1</v>
      </c>
      <c r="AW496">
        <f t="shared" si="69"/>
        <v>1</v>
      </c>
      <c r="AX496">
        <f t="shared" si="69"/>
        <v>0</v>
      </c>
      <c r="AY496">
        <f>IF(ISNUMBER(SEARCH(AY$3,$AN496)),1,0)</f>
        <v>0</v>
      </c>
      <c r="BA496" s="31">
        <f>S496*COUNTIFS(AP496:AY496,"1",$AP$4:$AY$4,"TRUE")</f>
        <v>6400</v>
      </c>
    </row>
    <row r="497" spans="3:53" x14ac:dyDescent="0.25">
      <c r="C497" s="122"/>
      <c r="D497" s="26" t="s">
        <v>119</v>
      </c>
      <c r="F497" s="32">
        <v>400</v>
      </c>
      <c r="G497" s="33" t="s">
        <v>15</v>
      </c>
      <c r="J497" s="76"/>
      <c r="K497" s="76"/>
      <c r="M497" s="3">
        <v>2</v>
      </c>
      <c r="N497" s="1" t="s">
        <v>129</v>
      </c>
    </row>
    <row r="498" spans="3:53" x14ac:dyDescent="0.25">
      <c r="C498" s="122"/>
      <c r="D498" s="26" t="s">
        <v>134</v>
      </c>
      <c r="F498" s="32"/>
      <c r="G498" s="33" t="s">
        <v>15</v>
      </c>
      <c r="J498" s="76"/>
      <c r="K498" s="76"/>
      <c r="M498" s="3">
        <v>0</v>
      </c>
      <c r="N498" s="1" t="s">
        <v>129</v>
      </c>
    </row>
    <row r="499" spans="3:53" ht="15.75" thickBot="1" x14ac:dyDescent="0.3">
      <c r="C499" s="123"/>
      <c r="D499" s="26" t="s">
        <v>316</v>
      </c>
      <c r="F499" s="32">
        <f>F340</f>
        <v>7423</v>
      </c>
      <c r="G499" s="33" t="s">
        <v>15</v>
      </c>
      <c r="J499" s="76"/>
      <c r="K499" s="76"/>
      <c r="M499" s="3">
        <v>0</v>
      </c>
      <c r="N499" s="1" t="s">
        <v>340</v>
      </c>
    </row>
    <row r="500" spans="3:53" ht="15.75" thickBot="1" x14ac:dyDescent="0.3">
      <c r="J500" s="76"/>
      <c r="K500" s="76"/>
    </row>
    <row r="501" spans="3:53" x14ac:dyDescent="0.25">
      <c r="C501" s="118" t="s">
        <v>632</v>
      </c>
      <c r="D501" s="26" t="s">
        <v>645</v>
      </c>
      <c r="E501" s="26" t="s">
        <v>238</v>
      </c>
      <c r="F501" s="39" t="s">
        <v>227</v>
      </c>
      <c r="J501" s="76"/>
      <c r="K501" s="76"/>
      <c r="M501" s="3">
        <v>10</v>
      </c>
      <c r="N501" s="1" t="s">
        <v>225</v>
      </c>
      <c r="O501" s="3">
        <v>2</v>
      </c>
      <c r="P501" s="1" t="s">
        <v>229</v>
      </c>
      <c r="S501" s="27">
        <f>(HLOOKUP(M502,$AR$19:$AU$31,$AO$20,FALSE)+ROUNDUP(M503,0)*(HLOOKUP(M502,$AR$19:$AU$31,$AO$22,FALSE)+HLOOKUP(M502,$AR$19:$AU$31,$AO$24,FALSE)+M501*HLOOKUP(M502,$AR$19:$AU$31,$AO$23,FALSE)+(M501+HLOOKUP(M502,$AR$19:$AU$31,$AO$27,FALSE))*HLOOKUP(M502,$AR$19:$AU$31,$AO$25,FALSE))+(M501+HLOOKUP(M502,$AR$19:$AU$31,$AO$28,FALSE))*IF(M503&gt;0.5,HLOOKUP(M502,$AR$19:$AU$31,$AO$30,FALSE),HLOOKUP(M502,$AR$19:$AU$31,$AO$31,FALSE)))*O501</f>
        <v>51916.896000000001</v>
      </c>
      <c r="U501" s="3" t="s">
        <v>176</v>
      </c>
      <c r="W501" s="45">
        <f>VLOOKUP($U501,'Regional splits'!$B$15:$R$22,W$5,FALSE)</f>
        <v>0</v>
      </c>
      <c r="X501" s="45">
        <f>VLOOKUP($U501,'Regional splits'!$B$15:$R$22,X$5,FALSE)</f>
        <v>0</v>
      </c>
      <c r="Y501" s="45">
        <f>VLOOKUP($U501,'Regional splits'!$B$15:$R$22,Y$5,FALSE)</f>
        <v>0</v>
      </c>
      <c r="Z501" s="45">
        <f>VLOOKUP($U501,'Regional splits'!$B$15:$R$22,Z$5,FALSE)</f>
        <v>0</v>
      </c>
      <c r="AA501" s="45">
        <f>VLOOKUP($U501,'Regional splits'!$B$15:$R$22,AA$5,FALSE)</f>
        <v>0</v>
      </c>
      <c r="AB501" s="45">
        <f>VLOOKUP($U501,'Regional splits'!$B$15:$R$22,AB$5,FALSE)</f>
        <v>0</v>
      </c>
      <c r="AC501" s="45">
        <f>VLOOKUP($U501,'Regional splits'!$B$15:$R$22,AC$5,FALSE)</f>
        <v>0</v>
      </c>
      <c r="AD501" s="45">
        <f>VLOOKUP($U501,'Regional splits'!$B$15:$R$22,AD$5,FALSE)</f>
        <v>0</v>
      </c>
      <c r="AE501" s="45">
        <f>VLOOKUP($U501,'Regional splits'!$B$15:$R$22,AE$5,FALSE)</f>
        <v>0</v>
      </c>
      <c r="AF501" s="45">
        <f>VLOOKUP($U501,'Regional splits'!$B$15:$R$22,AF$5,FALSE)</f>
        <v>0</v>
      </c>
      <c r="AG501" s="45">
        <f>VLOOKUP($U501,'Regional splits'!$B$15:$R$22,AG$5,FALSE)</f>
        <v>0</v>
      </c>
      <c r="AH501" s="45">
        <f>VLOOKUP($U501,'Regional splits'!$B$15:$R$22,AH$5,FALSE)</f>
        <v>0</v>
      </c>
      <c r="AI501" s="45">
        <f>VLOOKUP($U501,'Regional splits'!$B$15:$R$22,AI$5,FALSE)</f>
        <v>0</v>
      </c>
      <c r="AJ501" s="45">
        <f>VLOOKUP($U501,'Regional splits'!$B$15:$R$22,AJ$5,FALSE)</f>
        <v>0</v>
      </c>
      <c r="AK501" s="45">
        <f>VLOOKUP($U501,'Regional splits'!$B$15:$R$22,AK$5,FALSE)</f>
        <v>0</v>
      </c>
      <c r="AL501" s="45">
        <f>VLOOKUP($U501,'Regional splits'!$B$15:$R$22,AL$5,FALSE)</f>
        <v>1</v>
      </c>
      <c r="AN501" s="3">
        <v>2013</v>
      </c>
      <c r="AP501">
        <f t="shared" ref="AP501:AX501" si="70">IF(ISNUMBER(SEARCH(AP$3,$AN501)),1,0)</f>
        <v>1</v>
      </c>
      <c r="AQ501">
        <f t="shared" si="70"/>
        <v>0</v>
      </c>
      <c r="AR501">
        <f t="shared" si="70"/>
        <v>0</v>
      </c>
      <c r="AS501">
        <f t="shared" si="70"/>
        <v>0</v>
      </c>
      <c r="AT501">
        <f t="shared" si="70"/>
        <v>0</v>
      </c>
      <c r="AU501">
        <f t="shared" si="70"/>
        <v>0</v>
      </c>
      <c r="AV501">
        <f t="shared" si="70"/>
        <v>0</v>
      </c>
      <c r="AW501">
        <f t="shared" si="70"/>
        <v>0</v>
      </c>
      <c r="AX501">
        <f t="shared" si="70"/>
        <v>0</v>
      </c>
      <c r="AY501">
        <f>IF(ISNUMBER(SEARCH(AY$3,$AN501)),1,0)</f>
        <v>0</v>
      </c>
      <c r="BA501" s="31">
        <f>S501*COUNTIFS(AP501:AY501,"1",$AP$4:$AY$4,"TRUE")</f>
        <v>51916.896000000001</v>
      </c>
    </row>
    <row r="502" spans="3:53" x14ac:dyDescent="0.25">
      <c r="C502" s="119"/>
      <c r="J502" s="76"/>
      <c r="K502" s="76"/>
      <c r="M502" s="3" t="s">
        <v>50</v>
      </c>
      <c r="N502" s="1" t="s">
        <v>226</v>
      </c>
      <c r="W502" s="84"/>
      <c r="X502" s="84"/>
      <c r="Y502" s="84"/>
      <c r="Z502" s="84"/>
      <c r="AA502" s="84"/>
      <c r="AB502" s="84"/>
      <c r="AC502" s="84"/>
      <c r="AD502" s="84"/>
      <c r="AE502" s="84"/>
      <c r="AF502" s="84"/>
      <c r="AG502" s="84"/>
      <c r="AH502" s="84"/>
      <c r="AI502" s="84"/>
      <c r="AJ502" s="84"/>
      <c r="AK502" s="84"/>
      <c r="AL502" s="84"/>
      <c r="BA502"/>
    </row>
    <row r="503" spans="3:53" ht="15.75" thickBot="1" x14ac:dyDescent="0.3">
      <c r="C503" s="120"/>
      <c r="J503" s="76"/>
      <c r="K503" s="76"/>
      <c r="M503" s="3">
        <v>2</v>
      </c>
      <c r="N503" s="1" t="s">
        <v>252</v>
      </c>
      <c r="W503" s="84"/>
      <c r="X503" s="84"/>
      <c r="Y503" s="84"/>
      <c r="Z503" s="84"/>
      <c r="AA503" s="84"/>
      <c r="AB503" s="84"/>
      <c r="AC503" s="84"/>
      <c r="AD503" s="84"/>
      <c r="AE503" s="84"/>
      <c r="AF503" s="84"/>
      <c r="AG503" s="84"/>
      <c r="AH503" s="84"/>
      <c r="AI503" s="84"/>
      <c r="AJ503" s="84"/>
      <c r="AK503" s="84"/>
      <c r="AL503" s="84"/>
      <c r="BA503"/>
    </row>
    <row r="504" spans="3:53" ht="15.75" thickBot="1" x14ac:dyDescent="0.3">
      <c r="C504" s="53"/>
      <c r="F504" s="33"/>
      <c r="G504" s="33"/>
      <c r="J504" s="76"/>
      <c r="K504" s="76"/>
    </row>
    <row r="505" spans="3:53" ht="45.75" thickBot="1" x14ac:dyDescent="0.3">
      <c r="C505" s="52" t="s">
        <v>633</v>
      </c>
      <c r="D505" s="38" t="s">
        <v>646</v>
      </c>
      <c r="E505" s="26" t="s">
        <v>635</v>
      </c>
      <c r="F505" s="32">
        <v>70000</v>
      </c>
      <c r="G505" s="33" t="s">
        <v>122</v>
      </c>
      <c r="H505" s="26" t="s">
        <v>649</v>
      </c>
      <c r="J505" s="76"/>
      <c r="K505" s="76"/>
      <c r="M505" s="3">
        <f>'Regional splits'!R6</f>
        <v>72</v>
      </c>
      <c r="N505" s="1" t="s">
        <v>648</v>
      </c>
      <c r="O505" s="83">
        <v>0.5</v>
      </c>
      <c r="P505" s="1" t="s">
        <v>647</v>
      </c>
      <c r="S505" s="27">
        <f>F505*M505*O505</f>
        <v>2520000</v>
      </c>
      <c r="U505" s="3" t="s">
        <v>22</v>
      </c>
      <c r="W505" s="45">
        <f>VLOOKUP($U505,'Regional splits'!$B$15:$R$22,W$5,FALSE)</f>
        <v>8.3333333333333329E-2</v>
      </c>
      <c r="X505" s="45">
        <f>VLOOKUP($U505,'Regional splits'!$B$15:$R$22,X$5,FALSE)</f>
        <v>0.1388888888888889</v>
      </c>
      <c r="Y505" s="45">
        <f>VLOOKUP($U505,'Regional splits'!$B$15:$R$22,Y$5,FALSE)</f>
        <v>9.7222222222222224E-2</v>
      </c>
      <c r="Z505" s="45">
        <f>VLOOKUP($U505,'Regional splits'!$B$15:$R$22,Z$5,FALSE)</f>
        <v>9.7222222222222224E-2</v>
      </c>
      <c r="AA505" s="45">
        <f>VLOOKUP($U505,'Regional splits'!$B$15:$R$22,AA$5,FALSE)</f>
        <v>5.5555555555555552E-2</v>
      </c>
      <c r="AB505" s="45">
        <f>VLOOKUP($U505,'Regional splits'!$B$15:$R$22,AB$5,FALSE)</f>
        <v>6.9444444444444448E-2</v>
      </c>
      <c r="AC505" s="45">
        <f>VLOOKUP($U505,'Regional splits'!$B$15:$R$22,AC$5,FALSE)</f>
        <v>0.1111111111111111</v>
      </c>
      <c r="AD505" s="45">
        <f>VLOOKUP($U505,'Regional splits'!$B$15:$R$22,AD$5,FALSE)</f>
        <v>9.7222222222222224E-2</v>
      </c>
      <c r="AE505" s="45">
        <f>VLOOKUP($U505,'Regional splits'!$B$15:$R$22,AE$5,FALSE)</f>
        <v>0.15277777777777779</v>
      </c>
      <c r="AF505" s="45">
        <f>VLOOKUP($U505,'Regional splits'!$B$15:$R$22,AF$5,FALSE)</f>
        <v>9.7222222222222224E-2</v>
      </c>
      <c r="AG505" s="45">
        <f>VLOOKUP($U505,'Regional splits'!$B$15:$R$22,AG$5,FALSE)</f>
        <v>0</v>
      </c>
      <c r="AH505" s="45">
        <f>VLOOKUP($U505,'Regional splits'!$B$15:$R$22,AH$5,FALSE)</f>
        <v>0</v>
      </c>
      <c r="AI505" s="45">
        <f>VLOOKUP($U505,'Regional splits'!$B$15:$R$22,AI$5,FALSE)</f>
        <v>0</v>
      </c>
      <c r="AJ505" s="45">
        <f>VLOOKUP($U505,'Regional splits'!$B$15:$R$22,AJ$5,FALSE)</f>
        <v>0</v>
      </c>
      <c r="AK505" s="45">
        <f>VLOOKUP($U505,'Regional splits'!$B$15:$R$22,AK$5,FALSE)</f>
        <v>0</v>
      </c>
      <c r="AL505" s="45">
        <f>VLOOKUP($U505,'Regional splits'!$B$15:$R$22,AL$5,FALSE)</f>
        <v>0</v>
      </c>
      <c r="AN505" s="3" t="s">
        <v>417</v>
      </c>
      <c r="AP505">
        <f t="shared" ref="AP505:AX505" si="71">IF(ISNUMBER(SEARCH(AP$3,$AN505)),1,0)</f>
        <v>0</v>
      </c>
      <c r="AQ505">
        <f t="shared" si="71"/>
        <v>1</v>
      </c>
      <c r="AR505">
        <f t="shared" si="71"/>
        <v>1</v>
      </c>
      <c r="AS505">
        <f t="shared" si="71"/>
        <v>1</v>
      </c>
      <c r="AT505">
        <f t="shared" si="71"/>
        <v>1</v>
      </c>
      <c r="AU505">
        <f t="shared" si="71"/>
        <v>1</v>
      </c>
      <c r="AV505">
        <f t="shared" si="71"/>
        <v>1</v>
      </c>
      <c r="AW505">
        <f t="shared" si="71"/>
        <v>1</v>
      </c>
      <c r="AX505">
        <f t="shared" si="71"/>
        <v>0</v>
      </c>
      <c r="AY505">
        <f>IF(ISNUMBER(SEARCH(AY$3,$AN505)),1,0)</f>
        <v>0</v>
      </c>
      <c r="BA505" s="31">
        <f>S505*COUNTIFS(AP505:AY505,"1",$AP$4:$AY$4,"TRUE")</f>
        <v>17640000</v>
      </c>
    </row>
    <row r="506" spans="3:53" ht="15.75" thickBot="1" x14ac:dyDescent="0.3">
      <c r="C506" s="53"/>
      <c r="F506" s="33"/>
      <c r="G506" s="33"/>
      <c r="J506" s="76"/>
      <c r="K506" s="76"/>
    </row>
    <row r="507" spans="3:53" x14ac:dyDescent="0.25">
      <c r="C507" s="118" t="s">
        <v>634</v>
      </c>
      <c r="D507" s="26" t="s">
        <v>700</v>
      </c>
      <c r="E507" s="26" t="s">
        <v>238</v>
      </c>
      <c r="F507" s="39" t="s">
        <v>227</v>
      </c>
      <c r="J507" s="76"/>
      <c r="K507" s="76"/>
      <c r="M507" s="3">
        <f>10</f>
        <v>10</v>
      </c>
      <c r="N507" s="1" t="s">
        <v>225</v>
      </c>
      <c r="O507" s="3">
        <v>10</v>
      </c>
      <c r="P507" s="1" t="s">
        <v>229</v>
      </c>
      <c r="S507" s="27">
        <f>(HLOOKUP(M508,$AR$19:$AU$31,$AO$20,FALSE)+ROUNDUP(M509,0)*(HLOOKUP(M508,$AR$19:$AU$31,$AO$22,FALSE)+HLOOKUP(M508,$AR$19:$AU$31,$AO$24,FALSE)+M507*HLOOKUP(M508,$AR$19:$AU$31,$AO$23,FALSE)+(M507+HLOOKUP(M508,$AR$19:$AU$31,$AO$27,FALSE))*HLOOKUP(M508,$AR$19:$AU$31,$AO$25,FALSE))+(M507+HLOOKUP(M508,$AR$19:$AU$31,$AO$28,FALSE))*IF(M509&gt;0.5,HLOOKUP(M508,$AR$19:$AU$31,$AO$30,FALSE),HLOOKUP(M508,$AR$19:$AU$31,$AO$31,FALSE)))*O507</f>
        <v>86732.991999999998</v>
      </c>
      <c r="U507" s="3" t="s">
        <v>177</v>
      </c>
      <c r="W507" s="45">
        <f>VLOOKUP($U507,'Regional splits'!$B$15:$R$22,W$5,FALSE)</f>
        <v>0.1</v>
      </c>
      <c r="X507" s="45">
        <f>VLOOKUP($U507,'Regional splits'!$B$15:$R$22,X$5,FALSE)</f>
        <v>0.1</v>
      </c>
      <c r="Y507" s="45">
        <f>VLOOKUP($U507,'Regional splits'!$B$15:$R$22,Y$5,FALSE)</f>
        <v>0.1</v>
      </c>
      <c r="Z507" s="45">
        <f>VLOOKUP($U507,'Regional splits'!$B$15:$R$22,Z$5,FALSE)</f>
        <v>0.1</v>
      </c>
      <c r="AA507" s="45">
        <f>VLOOKUP($U507,'Regional splits'!$B$15:$R$22,AA$5,FALSE)</f>
        <v>0.1</v>
      </c>
      <c r="AB507" s="45">
        <f>VLOOKUP($U507,'Regional splits'!$B$15:$R$22,AB$5,FALSE)</f>
        <v>0.1</v>
      </c>
      <c r="AC507" s="45">
        <f>VLOOKUP($U507,'Regional splits'!$B$15:$R$22,AC$5,FALSE)</f>
        <v>0.1</v>
      </c>
      <c r="AD507" s="45">
        <f>VLOOKUP($U507,'Regional splits'!$B$15:$R$22,AD$5,FALSE)</f>
        <v>0.1</v>
      </c>
      <c r="AE507" s="45">
        <f>VLOOKUP($U507,'Regional splits'!$B$15:$R$22,AE$5,FALSE)</f>
        <v>0.1</v>
      </c>
      <c r="AF507" s="45">
        <f>VLOOKUP($U507,'Regional splits'!$B$15:$R$22,AF$5,FALSE)</f>
        <v>0.1</v>
      </c>
      <c r="AG507" s="45">
        <f>VLOOKUP($U507,'Regional splits'!$B$15:$R$22,AG$5,FALSE)</f>
        <v>0</v>
      </c>
      <c r="AH507" s="45">
        <f>VLOOKUP($U507,'Regional splits'!$B$15:$R$22,AH$5,FALSE)</f>
        <v>0</v>
      </c>
      <c r="AI507" s="45">
        <f>VLOOKUP($U507,'Regional splits'!$B$15:$R$22,AI$5,FALSE)</f>
        <v>0</v>
      </c>
      <c r="AJ507" s="45">
        <f>VLOOKUP($U507,'Regional splits'!$B$15:$R$22,AJ$5,FALSE)</f>
        <v>0</v>
      </c>
      <c r="AK507" s="45">
        <f>VLOOKUP($U507,'Regional splits'!$B$15:$R$22,AK$5,FALSE)</f>
        <v>0</v>
      </c>
      <c r="AL507" s="45">
        <f>VLOOKUP($U507,'Regional splits'!$B$15:$R$22,AL$5,FALSE)</f>
        <v>0</v>
      </c>
      <c r="AN507" s="3" t="s">
        <v>780</v>
      </c>
      <c r="AP507">
        <f t="shared" ref="AP507:AX507" si="72">IF(ISNUMBER(SEARCH(AP$3,$AN507)),1,0)</f>
        <v>0</v>
      </c>
      <c r="AQ507">
        <f t="shared" si="72"/>
        <v>1</v>
      </c>
      <c r="AR507">
        <f t="shared" si="72"/>
        <v>0</v>
      </c>
      <c r="AS507">
        <f t="shared" si="72"/>
        <v>0</v>
      </c>
      <c r="AT507">
        <f t="shared" si="72"/>
        <v>1</v>
      </c>
      <c r="AU507">
        <f t="shared" si="72"/>
        <v>0</v>
      </c>
      <c r="AV507">
        <f t="shared" si="72"/>
        <v>0</v>
      </c>
      <c r="AW507">
        <f t="shared" si="72"/>
        <v>0</v>
      </c>
      <c r="AX507">
        <f t="shared" si="72"/>
        <v>0</v>
      </c>
      <c r="AY507">
        <f>IF(ISNUMBER(SEARCH(AY$3,$AN507)),1,0)</f>
        <v>0</v>
      </c>
      <c r="BA507" s="31">
        <f>S507*COUNTIFS(AP507:AY507,"1",$AP$4:$AY$4,"TRUE")</f>
        <v>173465.984</v>
      </c>
    </row>
    <row r="508" spans="3:53" x14ac:dyDescent="0.25">
      <c r="C508" s="119"/>
      <c r="J508" s="76"/>
      <c r="K508" s="76"/>
      <c r="M508" s="3" t="s">
        <v>51</v>
      </c>
      <c r="N508" s="1" t="s">
        <v>226</v>
      </c>
    </row>
    <row r="509" spans="3:53" ht="37.5" customHeight="1" thickBot="1" x14ac:dyDescent="0.3">
      <c r="C509" s="120"/>
      <c r="J509" s="76"/>
      <c r="K509" s="76"/>
      <c r="M509" s="3">
        <v>0.5</v>
      </c>
      <c r="N509" s="1" t="s">
        <v>252</v>
      </c>
    </row>
    <row r="510" spans="3:53" ht="15.75" thickBot="1" x14ac:dyDescent="0.3">
      <c r="J510" s="76"/>
      <c r="K510" s="76"/>
    </row>
    <row r="511" spans="3:53" ht="45.75" customHeight="1" x14ac:dyDescent="0.25">
      <c r="C511" s="118" t="s">
        <v>661</v>
      </c>
      <c r="D511" s="38" t="s">
        <v>11</v>
      </c>
      <c r="E511" s="38" t="s">
        <v>662</v>
      </c>
      <c r="F511" s="32">
        <v>125</v>
      </c>
      <c r="G511" s="33" t="s">
        <v>276</v>
      </c>
      <c r="J511" s="76" t="s">
        <v>750</v>
      </c>
      <c r="K511" s="76"/>
      <c r="M511" s="3">
        <f>ROUNDUP(('Regional splits'!R6+10+100)/100,0)*100</f>
        <v>200</v>
      </c>
      <c r="N511" s="1" t="s">
        <v>664</v>
      </c>
      <c r="O511" s="1"/>
      <c r="P511" s="1"/>
      <c r="S511" s="27">
        <f>SUMPRODUCT(F511:F512,M511:M512)</f>
        <v>39000</v>
      </c>
      <c r="U511" s="3" t="s">
        <v>176</v>
      </c>
      <c r="W511" s="45">
        <f>VLOOKUP($U511,'Regional splits'!$B$15:$R$22,W$5,FALSE)</f>
        <v>0</v>
      </c>
      <c r="X511" s="45">
        <f>VLOOKUP($U511,'Regional splits'!$B$15:$R$22,X$5,FALSE)</f>
        <v>0</v>
      </c>
      <c r="Y511" s="45">
        <f>VLOOKUP($U511,'Regional splits'!$B$15:$R$22,Y$5,FALSE)</f>
        <v>0</v>
      </c>
      <c r="Z511" s="45">
        <f>VLOOKUP($U511,'Regional splits'!$B$15:$R$22,Z$5,FALSE)</f>
        <v>0</v>
      </c>
      <c r="AA511" s="45">
        <f>VLOOKUP($U511,'Regional splits'!$B$15:$R$22,AA$5,FALSE)</f>
        <v>0</v>
      </c>
      <c r="AB511" s="45">
        <f>VLOOKUP($U511,'Regional splits'!$B$15:$R$22,AB$5,FALSE)</f>
        <v>0</v>
      </c>
      <c r="AC511" s="45">
        <f>VLOOKUP($U511,'Regional splits'!$B$15:$R$22,AC$5,FALSE)</f>
        <v>0</v>
      </c>
      <c r="AD511" s="45">
        <f>VLOOKUP($U511,'Regional splits'!$B$15:$R$22,AD$5,FALSE)</f>
        <v>0</v>
      </c>
      <c r="AE511" s="45">
        <f>VLOOKUP($U511,'Regional splits'!$B$15:$R$22,AE$5,FALSE)</f>
        <v>0</v>
      </c>
      <c r="AF511" s="45">
        <f>VLOOKUP($U511,'Regional splits'!$B$15:$R$22,AF$5,FALSE)</f>
        <v>0</v>
      </c>
      <c r="AG511" s="45">
        <f>VLOOKUP($U511,'Regional splits'!$B$15:$R$22,AG$5,FALSE)</f>
        <v>0</v>
      </c>
      <c r="AH511" s="45">
        <f>VLOOKUP($U511,'Regional splits'!$B$15:$R$22,AH$5,FALSE)</f>
        <v>0</v>
      </c>
      <c r="AI511" s="45">
        <f>VLOOKUP($U511,'Regional splits'!$B$15:$R$22,AI$5,FALSE)</f>
        <v>0</v>
      </c>
      <c r="AJ511" s="45">
        <f>VLOOKUP($U511,'Regional splits'!$B$15:$R$22,AJ$5,FALSE)</f>
        <v>0</v>
      </c>
      <c r="AK511" s="45">
        <f>VLOOKUP($U511,'Regional splits'!$B$15:$R$22,AK$5,FALSE)</f>
        <v>0</v>
      </c>
      <c r="AL511" s="45">
        <f>VLOOKUP($U511,'Regional splits'!$B$15:$R$22,AL$5,FALSE)</f>
        <v>1</v>
      </c>
      <c r="AN511" s="3">
        <v>2013</v>
      </c>
      <c r="AP511">
        <f t="shared" ref="AP511:AX520" si="73">IF(ISNUMBER(SEARCH(AP$3,$AN511)),1,0)</f>
        <v>1</v>
      </c>
      <c r="AQ511">
        <f t="shared" si="73"/>
        <v>0</v>
      </c>
      <c r="AR511">
        <f t="shared" si="73"/>
        <v>0</v>
      </c>
      <c r="AS511">
        <f t="shared" si="73"/>
        <v>0</v>
      </c>
      <c r="AT511">
        <f t="shared" si="73"/>
        <v>0</v>
      </c>
      <c r="AU511">
        <f t="shared" si="73"/>
        <v>0</v>
      </c>
      <c r="AV511">
        <f t="shared" si="73"/>
        <v>0</v>
      </c>
      <c r="AW511">
        <f t="shared" si="73"/>
        <v>0</v>
      </c>
      <c r="AX511">
        <f t="shared" si="73"/>
        <v>0</v>
      </c>
      <c r="AY511">
        <f>IF(ISNUMBER(SEARCH(AY$3,$AN511)),1,0)</f>
        <v>0</v>
      </c>
      <c r="BA511" s="31">
        <f>S511*COUNTIFS(AP511:AY511,"1",$AP$4:$AY$4,"TRUE")</f>
        <v>39000</v>
      </c>
    </row>
    <row r="512" spans="3:53" ht="15.75" thickBot="1" x14ac:dyDescent="0.3">
      <c r="C512" s="120"/>
      <c r="D512" s="38"/>
      <c r="E512" s="26" t="s">
        <v>663</v>
      </c>
      <c r="F512" s="32">
        <f>F76</f>
        <v>2</v>
      </c>
      <c r="G512" s="33" t="s">
        <v>15</v>
      </c>
      <c r="J512" s="76"/>
      <c r="K512" s="76"/>
      <c r="M512" s="3">
        <f>ROUND(('Regional splits'!R8*4)/1000,0)*1000</f>
        <v>7000</v>
      </c>
      <c r="N512" s="1" t="s">
        <v>665</v>
      </c>
      <c r="O512" s="1"/>
      <c r="P512" s="1"/>
      <c r="S512"/>
      <c r="W512" s="84"/>
      <c r="X512" s="84"/>
      <c r="Y512" s="84"/>
      <c r="Z512" s="84"/>
      <c r="AA512" s="84"/>
      <c r="AB512" s="84"/>
      <c r="AC512" s="84"/>
      <c r="AD512" s="84"/>
      <c r="AE512" s="84"/>
      <c r="AF512" s="84"/>
      <c r="AG512" s="84"/>
      <c r="AH512" s="84"/>
      <c r="AI512" s="84"/>
      <c r="AJ512" s="84"/>
      <c r="AK512" s="84"/>
      <c r="AL512" s="84"/>
      <c r="BA512"/>
    </row>
    <row r="513" spans="3:53" ht="15.75" thickBot="1" x14ac:dyDescent="0.3">
      <c r="J513" s="76"/>
      <c r="K513" s="76"/>
    </row>
    <row r="514" spans="3:53" ht="75.75" thickBot="1" x14ac:dyDescent="0.3">
      <c r="C514" s="52" t="s">
        <v>669</v>
      </c>
      <c r="D514" s="38" t="s">
        <v>667</v>
      </c>
      <c r="E514" s="26" t="s">
        <v>668</v>
      </c>
      <c r="F514" s="32">
        <v>100000</v>
      </c>
      <c r="G514" s="33" t="s">
        <v>122</v>
      </c>
      <c r="H514" s="26" t="s">
        <v>649</v>
      </c>
      <c r="J514" s="76"/>
      <c r="K514" s="76"/>
      <c r="M514" s="3">
        <v>5</v>
      </c>
      <c r="N514" s="1" t="s">
        <v>670</v>
      </c>
      <c r="S514" s="27">
        <f>F514*M514</f>
        <v>500000</v>
      </c>
      <c r="U514" s="3" t="s">
        <v>22</v>
      </c>
      <c r="W514" s="45">
        <f>VLOOKUP($U514,'Regional splits'!$B$15:$R$22,W$5,FALSE)</f>
        <v>8.3333333333333329E-2</v>
      </c>
      <c r="X514" s="45">
        <f>VLOOKUP($U514,'Regional splits'!$B$15:$R$22,X$5,FALSE)</f>
        <v>0.1388888888888889</v>
      </c>
      <c r="Y514" s="45">
        <f>VLOOKUP($U514,'Regional splits'!$B$15:$R$22,Y$5,FALSE)</f>
        <v>9.7222222222222224E-2</v>
      </c>
      <c r="Z514" s="45">
        <f>VLOOKUP($U514,'Regional splits'!$B$15:$R$22,Z$5,FALSE)</f>
        <v>9.7222222222222224E-2</v>
      </c>
      <c r="AA514" s="45">
        <f>VLOOKUP($U514,'Regional splits'!$B$15:$R$22,AA$5,FALSE)</f>
        <v>5.5555555555555552E-2</v>
      </c>
      <c r="AB514" s="45">
        <f>VLOOKUP($U514,'Regional splits'!$B$15:$R$22,AB$5,FALSE)</f>
        <v>6.9444444444444448E-2</v>
      </c>
      <c r="AC514" s="45">
        <f>VLOOKUP($U514,'Regional splits'!$B$15:$R$22,AC$5,FALSE)</f>
        <v>0.1111111111111111</v>
      </c>
      <c r="AD514" s="45">
        <f>VLOOKUP($U514,'Regional splits'!$B$15:$R$22,AD$5,FALSE)</f>
        <v>9.7222222222222224E-2</v>
      </c>
      <c r="AE514" s="45">
        <f>VLOOKUP($U514,'Regional splits'!$B$15:$R$22,AE$5,FALSE)</f>
        <v>0.15277777777777779</v>
      </c>
      <c r="AF514" s="45">
        <f>VLOOKUP($U514,'Regional splits'!$B$15:$R$22,AF$5,FALSE)</f>
        <v>9.7222222222222224E-2</v>
      </c>
      <c r="AG514" s="45">
        <f>VLOOKUP($U514,'Regional splits'!$B$15:$R$22,AG$5,FALSE)</f>
        <v>0</v>
      </c>
      <c r="AH514" s="45">
        <f>VLOOKUP($U514,'Regional splits'!$B$15:$R$22,AH$5,FALSE)</f>
        <v>0</v>
      </c>
      <c r="AI514" s="45">
        <f>VLOOKUP($U514,'Regional splits'!$B$15:$R$22,AI$5,FALSE)</f>
        <v>0</v>
      </c>
      <c r="AJ514" s="45">
        <f>VLOOKUP($U514,'Regional splits'!$B$15:$R$22,AJ$5,FALSE)</f>
        <v>0</v>
      </c>
      <c r="AK514" s="45">
        <f>VLOOKUP($U514,'Regional splits'!$B$15:$R$22,AK$5,FALSE)</f>
        <v>0</v>
      </c>
      <c r="AL514" s="45">
        <f>VLOOKUP($U514,'Regional splits'!$B$15:$R$22,AL$5,FALSE)</f>
        <v>0</v>
      </c>
      <c r="AN514" s="3">
        <v>2016</v>
      </c>
      <c r="AP514">
        <f t="shared" si="73"/>
        <v>0</v>
      </c>
      <c r="AQ514">
        <f t="shared" si="73"/>
        <v>0</v>
      </c>
      <c r="AR514">
        <f t="shared" si="73"/>
        <v>0</v>
      </c>
      <c r="AS514">
        <f t="shared" si="73"/>
        <v>1</v>
      </c>
      <c r="AT514">
        <f t="shared" si="73"/>
        <v>0</v>
      </c>
      <c r="AU514">
        <f t="shared" si="73"/>
        <v>0</v>
      </c>
      <c r="AV514">
        <f t="shared" si="73"/>
        <v>0</v>
      </c>
      <c r="AW514">
        <f t="shared" si="73"/>
        <v>0</v>
      </c>
      <c r="AX514">
        <f t="shared" si="73"/>
        <v>0</v>
      </c>
      <c r="AY514">
        <f>IF(ISNUMBER(SEARCH(AY$3,$AN514)),1,0)</f>
        <v>0</v>
      </c>
      <c r="BA514" s="31">
        <f>S514*COUNTIFS(AP514:AY514,"1",$AP$4:$AY$4,"TRUE")</f>
        <v>500000</v>
      </c>
    </row>
    <row r="515" spans="3:53" ht="15.75" thickBot="1" x14ac:dyDescent="0.3">
      <c r="J515" s="76"/>
      <c r="K515" s="76"/>
    </row>
    <row r="516" spans="3:53" x14ac:dyDescent="0.25">
      <c r="C516" s="118" t="s">
        <v>755</v>
      </c>
      <c r="D516" s="26" t="s">
        <v>754</v>
      </c>
      <c r="E516" s="26" t="s">
        <v>238</v>
      </c>
      <c r="F516" s="39" t="s">
        <v>227</v>
      </c>
      <c r="J516" s="76"/>
      <c r="K516" s="76"/>
      <c r="M516" s="3">
        <v>10</v>
      </c>
      <c r="N516" s="1" t="s">
        <v>225</v>
      </c>
      <c r="O516" s="3">
        <f>2*10</f>
        <v>20</v>
      </c>
      <c r="P516" s="1" t="s">
        <v>229</v>
      </c>
      <c r="S516" s="27">
        <f>(HLOOKUP(M517,$AR$19:$AU$31,$AO$20,FALSE)+ROUNDUP(M518,0)*(HLOOKUP(M517,$AR$19:$AU$31,$AO$22,FALSE)+HLOOKUP(M517,$AR$19:$AU$31,$AO$24,FALSE)+M516*HLOOKUP(M517,$AR$19:$AU$31,$AO$23,FALSE)+(M516+HLOOKUP(M517,$AR$19:$AU$31,$AO$27,FALSE))*HLOOKUP(M517,$AR$19:$AU$31,$AO$25,FALSE))+(M516+HLOOKUP(M517,$AR$19:$AU$31,$AO$28,FALSE))*IF(M518&gt;0.5,HLOOKUP(M517,$AR$19:$AU$31,$AO$30,FALSE),HLOOKUP(M517,$AR$19:$AU$31,$AO$31,FALSE)))*O516</f>
        <v>333865.98400000005</v>
      </c>
      <c r="U516" s="3" t="s">
        <v>22</v>
      </c>
      <c r="W516" s="45">
        <f>VLOOKUP($U516,'Regional splits'!$B$15:$R$22,W$5,FALSE)</f>
        <v>8.3333333333333329E-2</v>
      </c>
      <c r="X516" s="45">
        <f>VLOOKUP($U516,'Regional splits'!$B$15:$R$22,X$5,FALSE)</f>
        <v>0.1388888888888889</v>
      </c>
      <c r="Y516" s="45">
        <f>VLOOKUP($U516,'Regional splits'!$B$15:$R$22,Y$5,FALSE)</f>
        <v>9.7222222222222224E-2</v>
      </c>
      <c r="Z516" s="45">
        <f>VLOOKUP($U516,'Regional splits'!$B$15:$R$22,Z$5,FALSE)</f>
        <v>9.7222222222222224E-2</v>
      </c>
      <c r="AA516" s="45">
        <f>VLOOKUP($U516,'Regional splits'!$B$15:$R$22,AA$5,FALSE)</f>
        <v>5.5555555555555552E-2</v>
      </c>
      <c r="AB516" s="45">
        <f>VLOOKUP($U516,'Regional splits'!$B$15:$R$22,AB$5,FALSE)</f>
        <v>6.9444444444444448E-2</v>
      </c>
      <c r="AC516" s="45">
        <f>VLOOKUP($U516,'Regional splits'!$B$15:$R$22,AC$5,FALSE)</f>
        <v>0.1111111111111111</v>
      </c>
      <c r="AD516" s="45">
        <f>VLOOKUP($U516,'Regional splits'!$B$15:$R$22,AD$5,FALSE)</f>
        <v>9.7222222222222224E-2</v>
      </c>
      <c r="AE516" s="45">
        <f>VLOOKUP($U516,'Regional splits'!$B$15:$R$22,AE$5,FALSE)</f>
        <v>0.15277777777777779</v>
      </c>
      <c r="AF516" s="45">
        <f>VLOOKUP($U516,'Regional splits'!$B$15:$R$22,AF$5,FALSE)</f>
        <v>9.7222222222222224E-2</v>
      </c>
      <c r="AG516" s="45">
        <f>VLOOKUP($U516,'Regional splits'!$B$15:$R$22,AG$5,FALSE)</f>
        <v>0</v>
      </c>
      <c r="AH516" s="45">
        <f>VLOOKUP($U516,'Regional splits'!$B$15:$R$22,AH$5,FALSE)</f>
        <v>0</v>
      </c>
      <c r="AI516" s="45">
        <f>VLOOKUP($U516,'Regional splits'!$B$15:$R$22,AI$5,FALSE)</f>
        <v>0</v>
      </c>
      <c r="AJ516" s="45">
        <f>VLOOKUP($U516,'Regional splits'!$B$15:$R$22,AJ$5,FALSE)</f>
        <v>0</v>
      </c>
      <c r="AK516" s="45">
        <f>VLOOKUP($U516,'Regional splits'!$B$15:$R$22,AK$5,FALSE)</f>
        <v>0</v>
      </c>
      <c r="AL516" s="45">
        <f>VLOOKUP($U516,'Regional splits'!$B$15:$R$22,AL$5,FALSE)</f>
        <v>0</v>
      </c>
      <c r="AN516" s="3">
        <v>2013</v>
      </c>
      <c r="AP516">
        <f t="shared" si="73"/>
        <v>1</v>
      </c>
      <c r="AQ516">
        <f t="shared" si="73"/>
        <v>0</v>
      </c>
      <c r="AR516">
        <f t="shared" si="73"/>
        <v>0</v>
      </c>
      <c r="AS516">
        <f t="shared" si="73"/>
        <v>0</v>
      </c>
      <c r="AT516">
        <f t="shared" si="73"/>
        <v>0</v>
      </c>
      <c r="AU516">
        <f t="shared" si="73"/>
        <v>0</v>
      </c>
      <c r="AV516">
        <f t="shared" si="73"/>
        <v>0</v>
      </c>
      <c r="AW516">
        <f t="shared" si="73"/>
        <v>0</v>
      </c>
      <c r="AX516">
        <f t="shared" si="73"/>
        <v>0</v>
      </c>
      <c r="AY516">
        <f>IF(ISNUMBER(SEARCH(AY$3,$AN516)),1,0)</f>
        <v>0</v>
      </c>
      <c r="BA516" s="31">
        <f>S516*COUNTIFS(AP516:AY516,"1",$AP$4:$AY$4,"TRUE")</f>
        <v>333865.98400000005</v>
      </c>
    </row>
    <row r="517" spans="3:53" x14ac:dyDescent="0.25">
      <c r="C517" s="119"/>
      <c r="J517" s="76"/>
      <c r="K517" s="76"/>
      <c r="M517" s="3" t="s">
        <v>51</v>
      </c>
      <c r="N517" s="1" t="s">
        <v>226</v>
      </c>
      <c r="T517" s="26"/>
      <c r="U517" s="26"/>
      <c r="V517" s="26"/>
      <c r="W517" s="84"/>
      <c r="X517" s="84"/>
      <c r="Y517" s="84"/>
      <c r="Z517" s="84"/>
      <c r="AA517" s="84"/>
      <c r="AB517" s="84"/>
      <c r="AC517" s="84"/>
      <c r="AD517" s="84"/>
      <c r="AE517" s="84"/>
      <c r="AF517" s="84"/>
      <c r="AG517" s="84"/>
      <c r="AH517" s="84"/>
      <c r="AI517" s="84"/>
      <c r="AJ517" s="84"/>
      <c r="AK517" s="84"/>
      <c r="AL517" s="84"/>
      <c r="AM517" s="26"/>
      <c r="AN517" s="26"/>
      <c r="AO517" s="26"/>
      <c r="AZ517" s="26"/>
    </row>
    <row r="518" spans="3:53" ht="15.75" thickBot="1" x14ac:dyDescent="0.3">
      <c r="C518" s="120"/>
      <c r="J518" s="76"/>
      <c r="K518" s="76"/>
      <c r="M518" s="3">
        <v>2</v>
      </c>
      <c r="N518" s="1" t="s">
        <v>252</v>
      </c>
      <c r="T518" s="26"/>
      <c r="U518" s="26"/>
      <c r="V518" s="26"/>
      <c r="W518" s="84"/>
      <c r="X518" s="84"/>
      <c r="Y518" s="84"/>
      <c r="Z518" s="84"/>
      <c r="AA518" s="84"/>
      <c r="AB518" s="84"/>
      <c r="AC518" s="84"/>
      <c r="AD518" s="84"/>
      <c r="AE518" s="84"/>
      <c r="AF518" s="84"/>
      <c r="AG518" s="84"/>
      <c r="AH518" s="84"/>
      <c r="AI518" s="84"/>
      <c r="AJ518" s="84"/>
      <c r="AK518" s="84"/>
      <c r="AL518" s="84"/>
      <c r="AM518" s="26"/>
      <c r="AN518" s="26"/>
      <c r="AO518" s="26"/>
      <c r="AZ518" s="26"/>
    </row>
    <row r="519" spans="3:53" x14ac:dyDescent="0.25">
      <c r="J519" s="76"/>
      <c r="K519" s="76"/>
    </row>
    <row r="520" spans="3:53" ht="60.75" hidden="1" thickBot="1" x14ac:dyDescent="0.3">
      <c r="C520" s="52" t="s">
        <v>728</v>
      </c>
      <c r="D520" s="38" t="s">
        <v>454</v>
      </c>
      <c r="E520" s="26" t="s">
        <v>454</v>
      </c>
      <c r="F520" s="32">
        <v>0</v>
      </c>
      <c r="G520" s="33" t="s">
        <v>455</v>
      </c>
      <c r="J520" s="76"/>
      <c r="K520" s="76"/>
      <c r="M520" s="3">
        <f>'Regional splits'!R17</f>
        <v>0</v>
      </c>
      <c r="N520" s="1" t="s">
        <v>666</v>
      </c>
      <c r="S520" s="27">
        <f>F520*M520</f>
        <v>0</v>
      </c>
      <c r="U520" s="3"/>
      <c r="W520" s="45" t="e">
        <f>VLOOKUP($U520,'Regional splits'!$B$15:$R$22,W$5,FALSE)</f>
        <v>#N/A</v>
      </c>
      <c r="X520" s="45" t="e">
        <f>VLOOKUP($U520,'Regional splits'!$B$15:$R$22,X$5,FALSE)</f>
        <v>#N/A</v>
      </c>
      <c r="Y520" s="45" t="e">
        <f>VLOOKUP($U520,'Regional splits'!$B$15:$R$22,Y$5,FALSE)</f>
        <v>#N/A</v>
      </c>
      <c r="Z520" s="45" t="e">
        <f>VLOOKUP($U520,'Regional splits'!$B$15:$R$22,Z$5,FALSE)</f>
        <v>#N/A</v>
      </c>
      <c r="AA520" s="45" t="e">
        <f>VLOOKUP($U520,'Regional splits'!$B$15:$R$22,AA$5,FALSE)</f>
        <v>#N/A</v>
      </c>
      <c r="AB520" s="45" t="e">
        <f>VLOOKUP($U520,'Regional splits'!$B$15:$R$22,AB$5,FALSE)</f>
        <v>#N/A</v>
      </c>
      <c r="AC520" s="45" t="e">
        <f>VLOOKUP($U520,'Regional splits'!$B$15:$R$22,AC$5,FALSE)</f>
        <v>#N/A</v>
      </c>
      <c r="AD520" s="45" t="e">
        <f>VLOOKUP($U520,'Regional splits'!$B$15:$R$22,AD$5,FALSE)</f>
        <v>#N/A</v>
      </c>
      <c r="AE520" s="45" t="e">
        <f>VLOOKUP($U520,'Regional splits'!$B$15:$R$22,AE$5,FALSE)</f>
        <v>#N/A</v>
      </c>
      <c r="AF520" s="45" t="e">
        <f>VLOOKUP($U520,'Regional splits'!$B$15:$R$22,AF$5,FALSE)</f>
        <v>#N/A</v>
      </c>
      <c r="AG520" s="45" t="e">
        <f>VLOOKUP($U520,'Regional splits'!$B$15:$R$22,AG$5,FALSE)</f>
        <v>#N/A</v>
      </c>
      <c r="AH520" s="45" t="e">
        <f>VLOOKUP($U520,'Regional splits'!$B$15:$R$22,AH$5,FALSE)</f>
        <v>#N/A</v>
      </c>
      <c r="AI520" s="45" t="e">
        <f>VLOOKUP($U520,'Regional splits'!$B$15:$R$22,AI$5,FALSE)</f>
        <v>#N/A</v>
      </c>
      <c r="AJ520" s="45" t="e">
        <f>VLOOKUP($U520,'Regional splits'!$B$15:$R$22,AJ$5,FALSE)</f>
        <v>#N/A</v>
      </c>
      <c r="AK520" s="45" t="e">
        <f>VLOOKUP($U520,'Regional splits'!$B$15:$R$22,AK$5,FALSE)</f>
        <v>#N/A</v>
      </c>
      <c r="AL520" s="45" t="e">
        <f>VLOOKUP($U520,'Regional splits'!$B$15:$R$22,AL$5,FALSE)</f>
        <v>#N/A</v>
      </c>
      <c r="AN520" s="3"/>
      <c r="AP520">
        <f t="shared" si="73"/>
        <v>0</v>
      </c>
      <c r="AQ520">
        <f t="shared" si="73"/>
        <v>0</v>
      </c>
      <c r="AR520">
        <f t="shared" si="73"/>
        <v>0</v>
      </c>
      <c r="AS520">
        <f t="shared" si="73"/>
        <v>0</v>
      </c>
      <c r="AT520">
        <f t="shared" si="73"/>
        <v>0</v>
      </c>
      <c r="AU520">
        <f t="shared" si="73"/>
        <v>0</v>
      </c>
      <c r="AV520">
        <f t="shared" si="73"/>
        <v>0</v>
      </c>
      <c r="AW520">
        <f t="shared" si="73"/>
        <v>0</v>
      </c>
      <c r="AX520">
        <f t="shared" si="73"/>
        <v>0</v>
      </c>
      <c r="AY520">
        <f>IF(ISNUMBER(SEARCH(AY$3,$AN520)),1,0)</f>
        <v>0</v>
      </c>
      <c r="BA520" s="31">
        <f>S520*COUNTIFS(AP520:AY520,"1",$AP$4:$AY$4,"TRUE")</f>
        <v>0</v>
      </c>
    </row>
  </sheetData>
  <sheetProtection password="F24F" sheet="1" objects="1" scenarios="1"/>
  <mergeCells count="81">
    <mergeCell ref="C198:C203"/>
    <mergeCell ref="C273:C280"/>
    <mergeCell ref="C244:C246"/>
    <mergeCell ref="C238:C240"/>
    <mergeCell ref="C284:C285"/>
    <mergeCell ref="C223:C236"/>
    <mergeCell ref="C187:C190"/>
    <mergeCell ref="C192:C196"/>
    <mergeCell ref="C468:C470"/>
    <mergeCell ref="C472:C474"/>
    <mergeCell ref="C417:C431"/>
    <mergeCell ref="C376:C379"/>
    <mergeCell ref="C443:C466"/>
    <mergeCell ref="C409:C410"/>
    <mergeCell ref="C433:C441"/>
    <mergeCell ref="C389:C391"/>
    <mergeCell ref="C403:C405"/>
    <mergeCell ref="C393:C395"/>
    <mergeCell ref="C366:C368"/>
    <mergeCell ref="C330:C335"/>
    <mergeCell ref="C337:C338"/>
    <mergeCell ref="C323:C328"/>
    <mergeCell ref="G57:I57"/>
    <mergeCell ref="N57:P57"/>
    <mergeCell ref="C66:C68"/>
    <mergeCell ref="C95:C102"/>
    <mergeCell ref="C70:C78"/>
    <mergeCell ref="C80:C86"/>
    <mergeCell ref="C88:C93"/>
    <mergeCell ref="W2:AM2"/>
    <mergeCell ref="AN2:AO2"/>
    <mergeCell ref="AP2:AZ2"/>
    <mergeCell ref="D2:L2"/>
    <mergeCell ref="M2:Q2"/>
    <mergeCell ref="S2:T2"/>
    <mergeCell ref="U2:V2"/>
    <mergeCell ref="C8:C9"/>
    <mergeCell ref="C40:C48"/>
    <mergeCell ref="C13:C38"/>
    <mergeCell ref="C501:C503"/>
    <mergeCell ref="C177:C181"/>
    <mergeCell ref="C210:C215"/>
    <mergeCell ref="C217:C221"/>
    <mergeCell ref="C205:C208"/>
    <mergeCell ref="C57:C64"/>
    <mergeCell ref="C289:C301"/>
    <mergeCell ref="C303:C319"/>
    <mergeCell ref="C104:C106"/>
    <mergeCell ref="C115:C118"/>
    <mergeCell ref="C120:C123"/>
    <mergeCell ref="C125:C129"/>
    <mergeCell ref="C476:C481"/>
    <mergeCell ref="C52:C55"/>
    <mergeCell ref="C155:C158"/>
    <mergeCell ref="C149:C153"/>
    <mergeCell ref="C131:C133"/>
    <mergeCell ref="C183:C185"/>
    <mergeCell ref="C160:C164"/>
    <mergeCell ref="C166:C170"/>
    <mergeCell ref="C172:C175"/>
    <mergeCell ref="C135:C137"/>
    <mergeCell ref="C108:C110"/>
    <mergeCell ref="C112:C113"/>
    <mergeCell ref="C139:C141"/>
    <mergeCell ref="C143:C145"/>
    <mergeCell ref="C516:C518"/>
    <mergeCell ref="C507:C509"/>
    <mergeCell ref="C511:C512"/>
    <mergeCell ref="C248:C260"/>
    <mergeCell ref="C262:C263"/>
    <mergeCell ref="C265:C267"/>
    <mergeCell ref="C269:C271"/>
    <mergeCell ref="C340:C342"/>
    <mergeCell ref="C372:C374"/>
    <mergeCell ref="C344:C354"/>
    <mergeCell ref="C412:C415"/>
    <mergeCell ref="C356:C358"/>
    <mergeCell ref="C496:C499"/>
    <mergeCell ref="C483:C491"/>
    <mergeCell ref="C493:C494"/>
    <mergeCell ref="C381:C383"/>
  </mergeCells>
  <dataValidations count="2">
    <dataValidation type="list" allowBlank="1" showInputMessage="1" showErrorMessage="1" sqref="M54 M84 M105 M121 M116 M126 M151 M156 M162 M167 M173 M178 M413 M331 M334 M206 M324 M327 M367 M390 M469 M473 M461 M451 M465 M446 M434 M437 M440 M357 M394 M502 M508 M259 M252 M266 M270 M275 M278 M245 M239 M517 M136 M109 M377 M140 M144 M382 M193">
      <formula1>Meeting_level</formula1>
    </dataValidation>
    <dataValidation type="list" allowBlank="1" showInputMessage="1" showErrorMessage="1" sqref="U59:V59 U66:V66 U70:V70 U80:V80 U88:V88 U95:V95 U104:V104 U108:V108 U115:V115 U120:V120 U125:V125 U131:V131 U516:V516 U376:V376 U139:V139 U149:V149 U155:V155 U160:V160 U166:V166 U172:V172 U177:V177 U412:V412 U183:V183 U187:V187 U381:V381 U198:V198 U205:V205 U210:V210 U217:V217 U223:V223 U244:V244 U242:V242 U52:V52 U323:V323 U330:V330 U337:V337 U340:V340 U344:V344 U520:V520 U360:V360 U362:V362 U366:V366 U370:V370 U372:V372 U112:V112 U143:V143 U385:V385 U389:V389 U356 U397:V397 U399:V399 U403:V403 U407:V407 U409:V409 U417:V417 U433:V433 U444:V444 U468:V468 U472:V472 U476:V476 U483:V483 U493:V493 U496:V496 U393 U505:V505 U507:V507 V356:V358 V393:V395 U501:V501 U514:V514 U511:V511 V240 U284:V285 U249:V249 U262:V262 U265:V265 U282:V282 U273:V273 U269:V269 U238:V238 U135:V135 U192:V192">
      <formula1>Cost_splits</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98" id="{4BB855D4-8050-4C55-B86D-7C20ACB3B20D}">
            <x14:iconSet iconSet="3Stars">
              <x14:cfvo type="percent">
                <xm:f>0</xm:f>
              </x14:cfvo>
              <x14:cfvo type="percent">
                <xm:f>33</xm:f>
              </x14:cfvo>
              <x14:cfvo type="percent">
                <xm:f>67</xm:f>
              </x14:cfvo>
            </x14:iconSet>
          </x14:cfRule>
          <xm:sqref>B9</xm:sqref>
        </x14:conditionalFormatting>
        <x14:conditionalFormatting xmlns:xm="http://schemas.microsoft.com/office/excel/2006/main">
          <x14:cfRule type="iconSet" priority="96" id="{87DA65FD-81C6-4AD6-BB63-9DEFED6CA5DB}">
            <x14:iconSet iconSet="3Stars">
              <x14:cfvo type="percent">
                <xm:f>0</xm:f>
              </x14:cfvo>
              <x14:cfvo type="percent">
                <xm:f>33</xm:f>
              </x14:cfvo>
              <x14:cfvo type="percent">
                <xm:f>67</xm:f>
              </x14:cfvo>
            </x14:iconSet>
          </x14:cfRule>
          <xm:sqref>B8</xm:sqref>
        </x14:conditionalFormatting>
        <x14:conditionalFormatting xmlns:xm="http://schemas.microsoft.com/office/excel/2006/main">
          <x14:cfRule type="iconSet" priority="95" id="{EA9BC1CC-472D-4C33-887D-29A30A24F1C2}">
            <x14:iconSet iconSet="3Stars">
              <x14:cfvo type="percent">
                <xm:f>0</xm:f>
              </x14:cfvo>
              <x14:cfvo type="percent">
                <xm:f>33</xm:f>
              </x14:cfvo>
              <x14:cfvo type="percent">
                <xm:f>67</xm:f>
              </x14:cfvo>
            </x14:iconSet>
          </x14:cfRule>
          <xm:sqref>B23</xm:sqref>
        </x14:conditionalFormatting>
        <x14:conditionalFormatting xmlns:xm="http://schemas.microsoft.com/office/excel/2006/main">
          <x14:cfRule type="iconSet" priority="94" id="{4A6BFCC4-9892-4B60-B510-FE2C9820614B}">
            <x14:iconSet iconSet="3Stars">
              <x14:cfvo type="percent">
                <xm:f>0</xm:f>
              </x14:cfvo>
              <x14:cfvo type="percent">
                <xm:f>33</xm:f>
              </x14:cfvo>
              <x14:cfvo type="percent">
                <xm:f>67</xm:f>
              </x14:cfvo>
            </x14:iconSet>
          </x14:cfRule>
          <xm:sqref>B24</xm:sqref>
        </x14:conditionalFormatting>
        <x14:conditionalFormatting xmlns:xm="http://schemas.microsoft.com/office/excel/2006/main">
          <x14:cfRule type="iconSet" priority="93" id="{9F316A1F-D0BC-4F05-8D1E-D1158A0C5CC2}">
            <x14:iconSet iconSet="3Stars">
              <x14:cfvo type="percent">
                <xm:f>0</xm:f>
              </x14:cfvo>
              <x14:cfvo type="percent">
                <xm:f>33</xm:f>
              </x14:cfvo>
              <x14:cfvo type="percent">
                <xm:f>67</xm:f>
              </x14:cfvo>
            </x14:iconSet>
          </x14:cfRule>
          <xm:sqref>B25</xm:sqref>
        </x14:conditionalFormatting>
        <x14:conditionalFormatting xmlns:xm="http://schemas.microsoft.com/office/excel/2006/main">
          <x14:cfRule type="iconSet" priority="92" id="{83E43FE4-5AEB-4D07-9779-77ED76ECB9F6}">
            <x14:iconSet iconSet="3Stars">
              <x14:cfvo type="percent">
                <xm:f>0</xm:f>
              </x14:cfvo>
              <x14:cfvo type="percent">
                <xm:f>33</xm:f>
              </x14:cfvo>
              <x14:cfvo type="percent">
                <xm:f>67</xm:f>
              </x14:cfvo>
            </x14:iconSet>
          </x14:cfRule>
          <xm:sqref>B34</xm:sqref>
        </x14:conditionalFormatting>
        <x14:conditionalFormatting xmlns:xm="http://schemas.microsoft.com/office/excel/2006/main">
          <x14:cfRule type="iconSet" priority="91" id="{9D56140D-D523-4130-BB30-9F5B031BE30D}">
            <x14:iconSet iconSet="3Stars">
              <x14:cfvo type="percent">
                <xm:f>0</xm:f>
              </x14:cfvo>
              <x14:cfvo type="percent">
                <xm:f>33</xm:f>
              </x14:cfvo>
              <x14:cfvo type="percent">
                <xm:f>67</xm:f>
              </x14:cfvo>
            </x14:iconSet>
          </x14:cfRule>
          <xm:sqref>B35</xm:sqref>
        </x14:conditionalFormatting>
        <x14:conditionalFormatting xmlns:xm="http://schemas.microsoft.com/office/excel/2006/main">
          <x14:cfRule type="iconSet" priority="89" id="{5BB64EC9-BC6C-4766-A5FA-FCA005B71809}">
            <x14:iconSet iconSet="3Stars">
              <x14:cfvo type="percent">
                <xm:f>0</xm:f>
              </x14:cfvo>
              <x14:cfvo type="percent">
                <xm:f>33</xm:f>
              </x14:cfvo>
              <x14:cfvo type="percent">
                <xm:f>67</xm:f>
              </x14:cfvo>
            </x14:iconSet>
          </x14:cfRule>
          <xm:sqref>B18</xm:sqref>
        </x14:conditionalFormatting>
        <x14:conditionalFormatting xmlns:xm="http://schemas.microsoft.com/office/excel/2006/main">
          <x14:cfRule type="iconSet" priority="88" id="{BC2124B8-3331-4ED8-A06B-B8583FD55E5F}">
            <x14:iconSet iconSet="3Stars">
              <x14:cfvo type="percent">
                <xm:f>0</xm:f>
              </x14:cfvo>
              <x14:cfvo type="percent">
                <xm:f>33</xm:f>
              </x14:cfvo>
              <x14:cfvo type="percent">
                <xm:f>67</xm:f>
              </x14:cfvo>
            </x14:iconSet>
          </x14:cfRule>
          <xm:sqref>B40</xm:sqref>
        </x14:conditionalFormatting>
        <x14:conditionalFormatting xmlns:xm="http://schemas.microsoft.com/office/excel/2006/main">
          <x14:cfRule type="iconSet" priority="87" id="{6EFAAC26-3D5D-413B-A194-86F69B0DF394}">
            <x14:iconSet iconSet="3Stars">
              <x14:cfvo type="percent">
                <xm:f>0</xm:f>
              </x14:cfvo>
              <x14:cfvo type="percent">
                <xm:f>33</xm:f>
              </x14:cfvo>
              <x14:cfvo type="percent">
                <xm:f>67</xm:f>
              </x14:cfvo>
            </x14:iconSet>
          </x14:cfRule>
          <xm:sqref>B41</xm:sqref>
        </x14:conditionalFormatting>
        <x14:conditionalFormatting xmlns:xm="http://schemas.microsoft.com/office/excel/2006/main">
          <x14:cfRule type="iconSet" priority="85" id="{387DFC87-ACD9-4CCF-93D7-55B672F4A110}">
            <x14:iconSet iconSet="3Stars">
              <x14:cfvo type="percent">
                <xm:f>0</xm:f>
              </x14:cfvo>
              <x14:cfvo type="percent">
                <xm:f>33</xm:f>
              </x14:cfvo>
              <x14:cfvo type="percent">
                <xm:f>67</xm:f>
              </x14:cfvo>
            </x14:iconSet>
          </x14:cfRule>
          <xm:sqref>B48</xm:sqref>
        </x14:conditionalFormatting>
        <x14:conditionalFormatting xmlns:xm="http://schemas.microsoft.com/office/excel/2006/main">
          <x14:cfRule type="iconSet" priority="84" id="{F8D109FE-1D45-44AF-864F-9E75CC0BA2D5}">
            <x14:iconSet iconSet="3Stars">
              <x14:cfvo type="percent">
                <xm:f>0</xm:f>
              </x14:cfvo>
              <x14:cfvo type="percent">
                <xm:f>33</xm:f>
              </x14:cfvo>
              <x14:cfvo type="percent">
                <xm:f>67</xm:f>
              </x14:cfvo>
            </x14:iconSet>
          </x14:cfRule>
          <xm:sqref>B59</xm:sqref>
        </x14:conditionalFormatting>
        <x14:conditionalFormatting xmlns:xm="http://schemas.microsoft.com/office/excel/2006/main">
          <x14:cfRule type="iconSet" priority="82" id="{9AD22672-66BD-4674-9CC9-CA99BDAA9B40}">
            <x14:iconSet iconSet="3Stars">
              <x14:cfvo type="percent">
                <xm:f>0</xm:f>
              </x14:cfvo>
              <x14:cfvo type="percent">
                <xm:f>33</xm:f>
              </x14:cfvo>
              <x14:cfvo type="percent">
                <xm:f>67</xm:f>
              </x14:cfvo>
            </x14:iconSet>
          </x14:cfRule>
          <xm:sqref>B62</xm:sqref>
        </x14:conditionalFormatting>
        <x14:conditionalFormatting xmlns:xm="http://schemas.microsoft.com/office/excel/2006/main">
          <x14:cfRule type="iconSet" priority="81" id="{3849746E-81FB-4006-A927-EBEAF8C11CB3}">
            <x14:iconSet iconSet="3Stars">
              <x14:cfvo type="percent">
                <xm:f>0</xm:f>
              </x14:cfvo>
              <x14:cfvo type="percent">
                <xm:f>33</xm:f>
              </x14:cfvo>
              <x14:cfvo type="percent">
                <xm:f>67</xm:f>
              </x14:cfvo>
            </x14:iconSet>
          </x14:cfRule>
          <xm:sqref>B125</xm:sqref>
        </x14:conditionalFormatting>
        <x14:conditionalFormatting xmlns:xm="http://schemas.microsoft.com/office/excel/2006/main">
          <x14:cfRule type="iconSet" priority="80" id="{14A38BAD-5F3F-468D-A237-888F3724D032}">
            <x14:iconSet iconSet="3Stars">
              <x14:cfvo type="percent">
                <xm:f>0</xm:f>
              </x14:cfvo>
              <x14:cfvo type="percent">
                <xm:f>33</xm:f>
              </x14:cfvo>
              <x14:cfvo type="percent">
                <xm:f>67</xm:f>
              </x14:cfvo>
            </x14:iconSet>
          </x14:cfRule>
          <xm:sqref>B149</xm:sqref>
        </x14:conditionalFormatting>
        <x14:conditionalFormatting xmlns:xm="http://schemas.microsoft.com/office/excel/2006/main">
          <x14:cfRule type="iconSet" priority="79" id="{4D0D1E6F-770A-4ED5-A788-83787D40A05E}">
            <x14:iconSet iconSet="3Stars">
              <x14:cfvo type="percent">
                <xm:f>0</xm:f>
              </x14:cfvo>
              <x14:cfvo type="percent">
                <xm:f>33</xm:f>
              </x14:cfvo>
              <x14:cfvo type="percent">
                <xm:f>67</xm:f>
              </x14:cfvo>
            </x14:iconSet>
          </x14:cfRule>
          <xm:sqref>B150</xm:sqref>
        </x14:conditionalFormatting>
        <x14:conditionalFormatting xmlns:xm="http://schemas.microsoft.com/office/excel/2006/main">
          <x14:cfRule type="iconSet" priority="78" id="{9D49FFBA-8671-437C-BE7D-4EF0D496FC54}">
            <x14:iconSet iconSet="3Stars">
              <x14:cfvo type="percent">
                <xm:f>0</xm:f>
              </x14:cfvo>
              <x14:cfvo type="percent">
                <xm:f>33</xm:f>
              </x14:cfvo>
              <x14:cfvo type="percent">
                <xm:f>67</xm:f>
              </x14:cfvo>
            </x14:iconSet>
          </x14:cfRule>
          <xm:sqref>B153:B154</xm:sqref>
        </x14:conditionalFormatting>
        <x14:conditionalFormatting xmlns:xm="http://schemas.microsoft.com/office/excel/2006/main">
          <x14:cfRule type="iconSet" priority="77" id="{8A57FD5A-1FB0-40D2-A85E-852DB05FD953}">
            <x14:iconSet iconSet="3Stars">
              <x14:cfvo type="percent">
                <xm:f>0</xm:f>
              </x14:cfvo>
              <x14:cfvo type="percent">
                <xm:f>33</xm:f>
              </x14:cfvo>
              <x14:cfvo type="percent">
                <xm:f>67</xm:f>
              </x14:cfvo>
            </x14:iconSet>
          </x14:cfRule>
          <xm:sqref>B155</xm:sqref>
        </x14:conditionalFormatting>
        <x14:conditionalFormatting xmlns:xm="http://schemas.microsoft.com/office/excel/2006/main">
          <x14:cfRule type="iconSet" priority="76" id="{643115A7-AD04-4F24-BEDE-07300CFC3382}">
            <x14:iconSet iconSet="3Stars">
              <x14:cfvo type="percent">
                <xm:f>0</xm:f>
              </x14:cfvo>
              <x14:cfvo type="percent">
                <xm:f>33</xm:f>
              </x14:cfvo>
              <x14:cfvo type="percent">
                <xm:f>67</xm:f>
              </x14:cfvo>
            </x14:iconSet>
          </x14:cfRule>
          <xm:sqref>B160</xm:sqref>
        </x14:conditionalFormatting>
        <x14:conditionalFormatting xmlns:xm="http://schemas.microsoft.com/office/excel/2006/main">
          <x14:cfRule type="iconSet" priority="75" id="{9C58BF21-FEF3-48CC-B138-46444FA3C96E}">
            <x14:iconSet iconSet="3Stars">
              <x14:cfvo type="percent">
                <xm:f>0</xm:f>
              </x14:cfvo>
              <x14:cfvo type="percent">
                <xm:f>33</xm:f>
              </x14:cfvo>
              <x14:cfvo type="percent">
                <xm:f>67</xm:f>
              </x14:cfvo>
            </x14:iconSet>
          </x14:cfRule>
          <xm:sqref>B161</xm:sqref>
        </x14:conditionalFormatting>
        <x14:conditionalFormatting xmlns:xm="http://schemas.microsoft.com/office/excel/2006/main">
          <x14:cfRule type="iconSet" priority="74" id="{559AA3A7-FA57-4DC5-8BB8-E16BF9E57092}">
            <x14:iconSet iconSet="3Stars">
              <x14:cfvo type="percent">
                <xm:f>0</xm:f>
              </x14:cfvo>
              <x14:cfvo type="percent">
                <xm:f>33</xm:f>
              </x14:cfvo>
              <x14:cfvo type="percent">
                <xm:f>67</xm:f>
              </x14:cfvo>
            </x14:iconSet>
          </x14:cfRule>
          <xm:sqref>B164:B165</xm:sqref>
        </x14:conditionalFormatting>
        <x14:conditionalFormatting xmlns:xm="http://schemas.microsoft.com/office/excel/2006/main">
          <x14:cfRule type="iconSet" priority="73" id="{3EC55DED-4E35-4E3A-B6D5-147843A9B4F0}">
            <x14:iconSet iconSet="3Stars">
              <x14:cfvo type="percent">
                <xm:f>0</xm:f>
              </x14:cfvo>
              <x14:cfvo type="percent">
                <xm:f>33</xm:f>
              </x14:cfvo>
              <x14:cfvo type="percent">
                <xm:f>67</xm:f>
              </x14:cfvo>
            </x14:iconSet>
          </x14:cfRule>
          <xm:sqref>B166</xm:sqref>
        </x14:conditionalFormatting>
        <x14:conditionalFormatting xmlns:xm="http://schemas.microsoft.com/office/excel/2006/main">
          <x14:cfRule type="iconSet" priority="72" id="{2844A4D3-0853-4115-81D9-F08D7068C887}">
            <x14:iconSet iconSet="3Stars">
              <x14:cfvo type="percent">
                <xm:f>0</xm:f>
              </x14:cfvo>
              <x14:cfvo type="percent">
                <xm:f>33</xm:f>
              </x14:cfvo>
              <x14:cfvo type="percent">
                <xm:f>67</xm:f>
              </x14:cfvo>
            </x14:iconSet>
          </x14:cfRule>
          <xm:sqref>B172</xm:sqref>
        </x14:conditionalFormatting>
        <x14:conditionalFormatting xmlns:xm="http://schemas.microsoft.com/office/excel/2006/main">
          <x14:cfRule type="iconSet" priority="71" id="{45B41A74-548A-4824-8B4E-D7A2EA033FA0}">
            <x14:iconSet iconSet="3Stars">
              <x14:cfvo type="percent">
                <xm:f>0</xm:f>
              </x14:cfvo>
              <x14:cfvo type="percent">
                <xm:f>33</xm:f>
              </x14:cfvo>
              <x14:cfvo type="percent">
                <xm:f>67</xm:f>
              </x14:cfvo>
            </x14:iconSet>
          </x14:cfRule>
          <xm:sqref>B177</xm:sqref>
        </x14:conditionalFormatting>
        <x14:conditionalFormatting xmlns:xm="http://schemas.microsoft.com/office/excel/2006/main">
          <x14:cfRule type="iconSet" priority="70" id="{AAA34622-B2A0-4D83-B1F1-E6467069A8F6}">
            <x14:iconSet iconSet="3Stars">
              <x14:cfvo type="percent">
                <xm:f>0</xm:f>
              </x14:cfvo>
              <x14:cfvo type="percent">
                <xm:f>33</xm:f>
              </x14:cfvo>
              <x14:cfvo type="percent">
                <xm:f>67</xm:f>
              </x14:cfvo>
            </x14:iconSet>
          </x14:cfRule>
          <xm:sqref>B412</xm:sqref>
        </x14:conditionalFormatting>
        <x14:conditionalFormatting xmlns:xm="http://schemas.microsoft.com/office/excel/2006/main">
          <x14:cfRule type="iconSet" priority="69" id="{599DC954-05B4-4BCD-9344-688F562EE1F1}">
            <x14:iconSet iconSet="3Stars">
              <x14:cfvo type="percent">
                <xm:f>0</xm:f>
              </x14:cfvo>
              <x14:cfvo type="percent">
                <xm:f>33</xm:f>
              </x14:cfvo>
              <x14:cfvo type="percent">
                <xm:f>67</xm:f>
              </x14:cfvo>
            </x14:iconSet>
          </x14:cfRule>
          <xm:sqref>B183</xm:sqref>
        </x14:conditionalFormatting>
        <x14:conditionalFormatting xmlns:xm="http://schemas.microsoft.com/office/excel/2006/main">
          <x14:cfRule type="iconSet" priority="68" id="{ACBA6403-BAB5-4A18-B708-BA8788FC1200}">
            <x14:iconSet iconSet="3Stars">
              <x14:cfvo type="percent">
                <xm:f>0</xm:f>
              </x14:cfvo>
              <x14:cfvo type="percent">
                <xm:f>33</xm:f>
              </x14:cfvo>
              <x14:cfvo type="percent">
                <xm:f>67</xm:f>
              </x14:cfvo>
            </x14:iconSet>
          </x14:cfRule>
          <xm:sqref>B187</xm:sqref>
        </x14:conditionalFormatting>
        <x14:conditionalFormatting xmlns:xm="http://schemas.microsoft.com/office/excel/2006/main">
          <x14:cfRule type="iconSet" priority="67" id="{AF31AE8D-1073-4CD5-BFA1-42DFEE0369E4}">
            <x14:iconSet iconSet="3Stars">
              <x14:cfvo type="percent">
                <xm:f>0</xm:f>
              </x14:cfvo>
              <x14:cfvo type="percent">
                <xm:f>33</xm:f>
              </x14:cfvo>
              <x14:cfvo type="percent">
                <xm:f>67</xm:f>
              </x14:cfvo>
            </x14:iconSet>
          </x14:cfRule>
          <xm:sqref>B192</xm:sqref>
        </x14:conditionalFormatting>
        <x14:conditionalFormatting xmlns:xm="http://schemas.microsoft.com/office/excel/2006/main">
          <x14:cfRule type="iconSet" priority="66" id="{8E4FADEF-3FB0-476A-82C0-61E924BB1C76}">
            <x14:iconSet iconSet="3Stars">
              <x14:cfvo type="percent">
                <xm:f>0</xm:f>
              </x14:cfvo>
              <x14:cfvo type="percent">
                <xm:f>33</xm:f>
              </x14:cfvo>
              <x14:cfvo type="percent">
                <xm:f>67</xm:f>
              </x14:cfvo>
            </x14:iconSet>
          </x14:cfRule>
          <xm:sqref>B194:B196</xm:sqref>
        </x14:conditionalFormatting>
        <x14:conditionalFormatting xmlns:xm="http://schemas.microsoft.com/office/excel/2006/main">
          <x14:cfRule type="iconSet" priority="65" id="{5B9937AE-F34F-477C-A01E-4BEECD25FD9F}">
            <x14:iconSet iconSet="3Stars">
              <x14:cfvo type="percent">
                <xm:f>0</xm:f>
              </x14:cfvo>
              <x14:cfvo type="percent">
                <xm:f>33</xm:f>
              </x14:cfvo>
              <x14:cfvo type="percent">
                <xm:f>67</xm:f>
              </x14:cfvo>
            </x14:iconSet>
          </x14:cfRule>
          <xm:sqref>B198</xm:sqref>
        </x14:conditionalFormatting>
        <x14:conditionalFormatting xmlns:xm="http://schemas.microsoft.com/office/excel/2006/main">
          <x14:cfRule type="iconSet" priority="63" id="{AD7FF4EC-0AE9-49FC-B218-C626D6757D8C}">
            <x14:iconSet iconSet="3Stars">
              <x14:cfvo type="percent">
                <xm:f>0</xm:f>
              </x14:cfvo>
              <x14:cfvo type="percent">
                <xm:f>33</xm:f>
              </x14:cfvo>
              <x14:cfvo type="percent">
                <xm:f>67</xm:f>
              </x14:cfvo>
            </x14:iconSet>
          </x14:cfRule>
          <xm:sqref>B199:B200</xm:sqref>
        </x14:conditionalFormatting>
        <x14:conditionalFormatting xmlns:xm="http://schemas.microsoft.com/office/excel/2006/main">
          <x14:cfRule type="iconSet" priority="61" id="{E04BCB1B-90AF-4325-BA71-7254BD320A37}">
            <x14:iconSet iconSet="3Stars">
              <x14:cfvo type="percent">
                <xm:f>0</xm:f>
              </x14:cfvo>
              <x14:cfvo type="percent">
                <xm:f>33</xm:f>
              </x14:cfvo>
              <x14:cfvo type="percent">
                <xm:f>67</xm:f>
              </x14:cfvo>
            </x14:iconSet>
          </x14:cfRule>
          <xm:sqref>B205</xm:sqref>
        </x14:conditionalFormatting>
        <x14:conditionalFormatting xmlns:xm="http://schemas.microsoft.com/office/excel/2006/main">
          <x14:cfRule type="iconSet" priority="59" id="{FED02152-7C2B-4B03-926F-580DF8DD0BE6}">
            <x14:iconSet iconSet="3Stars">
              <x14:cfvo type="percent">
                <xm:f>0</xm:f>
              </x14:cfvo>
              <x14:cfvo type="percent">
                <xm:f>33</xm:f>
              </x14:cfvo>
              <x14:cfvo type="percent">
                <xm:f>67</xm:f>
              </x14:cfvo>
            </x14:iconSet>
          </x14:cfRule>
          <xm:sqref>B219</xm:sqref>
        </x14:conditionalFormatting>
        <x14:conditionalFormatting xmlns:xm="http://schemas.microsoft.com/office/excel/2006/main">
          <x14:cfRule type="iconSet" priority="58" id="{9C69411B-4A93-40B1-A7B2-764A1F33A482}">
            <x14:iconSet iconSet="3Stars">
              <x14:cfvo type="percent">
                <xm:f>0</xm:f>
              </x14:cfvo>
              <x14:cfvo type="percent">
                <xm:f>33</xm:f>
              </x14:cfvo>
              <x14:cfvo type="percent">
                <xm:f>67</xm:f>
              </x14:cfvo>
            </x14:iconSet>
          </x14:cfRule>
          <xm:sqref>B289</xm:sqref>
        </x14:conditionalFormatting>
        <x14:conditionalFormatting xmlns:xm="http://schemas.microsoft.com/office/excel/2006/main">
          <x14:cfRule type="iconSet" priority="57" id="{6F41DC63-132D-40B1-8247-59E3DBB4B4D0}">
            <x14:iconSet iconSet="3Stars">
              <x14:cfvo type="percent">
                <xm:f>0</xm:f>
              </x14:cfvo>
              <x14:cfvo type="percent">
                <xm:f>33</xm:f>
              </x14:cfvo>
              <x14:cfvo type="percent">
                <xm:f>67</xm:f>
              </x14:cfvo>
            </x14:iconSet>
          </x14:cfRule>
          <xm:sqref>B290</xm:sqref>
        </x14:conditionalFormatting>
        <x14:conditionalFormatting xmlns:xm="http://schemas.microsoft.com/office/excel/2006/main">
          <x14:cfRule type="iconSet" priority="56" id="{D36854AF-F242-4C06-A180-888A25BB25CF}">
            <x14:iconSet iconSet="3Stars">
              <x14:cfvo type="percent">
                <xm:f>0</xm:f>
              </x14:cfvo>
              <x14:cfvo type="percent">
                <xm:f>33</xm:f>
              </x14:cfvo>
              <x14:cfvo type="percent">
                <xm:f>67</xm:f>
              </x14:cfvo>
            </x14:iconSet>
          </x14:cfRule>
          <xm:sqref>B291</xm:sqref>
        </x14:conditionalFormatting>
        <x14:conditionalFormatting xmlns:xm="http://schemas.microsoft.com/office/excel/2006/main">
          <x14:cfRule type="iconSet" priority="55" id="{1344125B-1BEF-402B-9E8C-3E14304F2B3A}">
            <x14:iconSet iconSet="3Stars">
              <x14:cfvo type="percent">
                <xm:f>0</xm:f>
              </x14:cfvo>
              <x14:cfvo type="percent">
                <xm:f>33</xm:f>
              </x14:cfvo>
              <x14:cfvo type="percent">
                <xm:f>67</xm:f>
              </x14:cfvo>
            </x14:iconSet>
          </x14:cfRule>
          <xm:sqref>B292</xm:sqref>
        </x14:conditionalFormatting>
        <x14:conditionalFormatting xmlns:xm="http://schemas.microsoft.com/office/excel/2006/main">
          <x14:cfRule type="iconSet" priority="54" id="{17A41F06-2DFF-4705-B461-DFD33FCA0DD5}">
            <x14:iconSet iconSet="3Stars">
              <x14:cfvo type="percent">
                <xm:f>0</xm:f>
              </x14:cfvo>
              <x14:cfvo type="percent">
                <xm:f>33</xm:f>
              </x14:cfvo>
              <x14:cfvo type="percent">
                <xm:f>67</xm:f>
              </x14:cfvo>
            </x14:iconSet>
          </x14:cfRule>
          <xm:sqref>B293</xm:sqref>
        </x14:conditionalFormatting>
        <x14:conditionalFormatting xmlns:xm="http://schemas.microsoft.com/office/excel/2006/main">
          <x14:cfRule type="iconSet" priority="53" id="{9A6C6943-2919-4BE7-9749-FCB169AE0474}">
            <x14:iconSet iconSet="3Stars">
              <x14:cfvo type="percent">
                <xm:f>0</xm:f>
              </x14:cfvo>
              <x14:cfvo type="percent">
                <xm:f>33</xm:f>
              </x14:cfvo>
              <x14:cfvo type="percent">
                <xm:f>67</xm:f>
              </x14:cfvo>
            </x14:iconSet>
          </x14:cfRule>
          <xm:sqref>B294</xm:sqref>
        </x14:conditionalFormatting>
        <x14:conditionalFormatting xmlns:xm="http://schemas.microsoft.com/office/excel/2006/main">
          <x14:cfRule type="iconSet" priority="52" id="{94FDD1ED-2CB8-4B0B-8C40-B2DF35F222AB}">
            <x14:iconSet iconSet="3Stars">
              <x14:cfvo type="percent">
                <xm:f>0</xm:f>
              </x14:cfvo>
              <x14:cfvo type="percent">
                <xm:f>33</xm:f>
              </x14:cfvo>
              <x14:cfvo type="percent">
                <xm:f>67</xm:f>
              </x14:cfvo>
            </x14:iconSet>
          </x14:cfRule>
          <xm:sqref>B295</xm:sqref>
        </x14:conditionalFormatting>
        <x14:conditionalFormatting xmlns:xm="http://schemas.microsoft.com/office/excel/2006/main">
          <x14:cfRule type="iconSet" priority="51" id="{2B1DDCCF-09FA-4E02-89B6-77AC454831A1}">
            <x14:iconSet iconSet="3Stars">
              <x14:cfvo type="percent">
                <xm:f>0</xm:f>
              </x14:cfvo>
              <x14:cfvo type="percent">
                <xm:f>33</xm:f>
              </x14:cfvo>
              <x14:cfvo type="percent">
                <xm:f>67</xm:f>
              </x14:cfvo>
            </x14:iconSet>
          </x14:cfRule>
          <xm:sqref>B296</xm:sqref>
        </x14:conditionalFormatting>
        <x14:conditionalFormatting xmlns:xm="http://schemas.microsoft.com/office/excel/2006/main">
          <x14:cfRule type="iconSet" priority="50" id="{E940D0B4-4014-48FD-A404-664856F56C17}">
            <x14:iconSet iconSet="3Stars">
              <x14:cfvo type="percent">
                <xm:f>0</xm:f>
              </x14:cfvo>
              <x14:cfvo type="percent">
                <xm:f>33</xm:f>
              </x14:cfvo>
              <x14:cfvo type="percent">
                <xm:f>67</xm:f>
              </x14:cfvo>
            </x14:iconSet>
          </x14:cfRule>
          <xm:sqref>B297</xm:sqref>
        </x14:conditionalFormatting>
        <x14:conditionalFormatting xmlns:xm="http://schemas.microsoft.com/office/excel/2006/main">
          <x14:cfRule type="iconSet" priority="49" id="{E679497C-AC1A-4BFE-873B-31E6BCED9EB8}">
            <x14:iconSet iconSet="3Stars">
              <x14:cfvo type="percent">
                <xm:f>0</xm:f>
              </x14:cfvo>
              <x14:cfvo type="percent">
                <xm:f>33</xm:f>
              </x14:cfvo>
              <x14:cfvo type="percent">
                <xm:f>67</xm:f>
              </x14:cfvo>
            </x14:iconSet>
          </x14:cfRule>
          <xm:sqref>B298</xm:sqref>
        </x14:conditionalFormatting>
        <x14:conditionalFormatting xmlns:xm="http://schemas.microsoft.com/office/excel/2006/main">
          <x14:cfRule type="iconSet" priority="48" id="{59CB3241-C1D3-4811-934D-551A44BE9258}">
            <x14:iconSet iconSet="3Stars">
              <x14:cfvo type="percent">
                <xm:f>0</xm:f>
              </x14:cfvo>
              <x14:cfvo type="percent">
                <xm:f>33</xm:f>
              </x14:cfvo>
              <x14:cfvo type="percent">
                <xm:f>67</xm:f>
              </x14:cfvo>
            </x14:iconSet>
          </x14:cfRule>
          <xm:sqref>B299</xm:sqref>
        </x14:conditionalFormatting>
        <x14:conditionalFormatting xmlns:xm="http://schemas.microsoft.com/office/excel/2006/main">
          <x14:cfRule type="iconSet" priority="47" id="{14088AC9-15FE-4C1C-94CF-012DE7D421F5}">
            <x14:iconSet iconSet="3Stars">
              <x14:cfvo type="percent">
                <xm:f>0</xm:f>
              </x14:cfvo>
              <x14:cfvo type="percent">
                <xm:f>33</xm:f>
              </x14:cfvo>
              <x14:cfvo type="percent">
                <xm:f>67</xm:f>
              </x14:cfvo>
            </x14:iconSet>
          </x14:cfRule>
          <xm:sqref>B300</xm:sqref>
        </x14:conditionalFormatting>
        <x14:conditionalFormatting xmlns:xm="http://schemas.microsoft.com/office/excel/2006/main">
          <x14:cfRule type="iconSet" priority="45" id="{67363B65-1B66-4F25-A444-633B5BF56FC9}">
            <x14:iconSet iconSet="3Stars">
              <x14:cfvo type="percent">
                <xm:f>0</xm:f>
              </x14:cfvo>
              <x14:cfvo type="percent">
                <xm:f>33</xm:f>
              </x14:cfvo>
              <x14:cfvo type="percent">
                <xm:f>67</xm:f>
              </x14:cfvo>
            </x14:iconSet>
          </x14:cfRule>
          <xm:sqref>B301</xm:sqref>
        </x14:conditionalFormatting>
        <x14:conditionalFormatting xmlns:xm="http://schemas.microsoft.com/office/excel/2006/main">
          <x14:cfRule type="iconSet" priority="44" id="{CC1F6ADC-F90A-4FDB-A953-9ED2383804A9}">
            <x14:iconSet iconSet="3Stars">
              <x14:cfvo type="percent">
                <xm:f>0</xm:f>
              </x14:cfvo>
              <x14:cfvo type="percent">
                <xm:f>33</xm:f>
              </x14:cfvo>
              <x14:cfvo type="percent">
                <xm:f>67</xm:f>
              </x14:cfvo>
            </x14:iconSet>
          </x14:cfRule>
          <xm:sqref>B323</xm:sqref>
        </x14:conditionalFormatting>
        <x14:conditionalFormatting xmlns:xm="http://schemas.microsoft.com/office/excel/2006/main">
          <x14:cfRule type="iconSet" priority="43" id="{481C9628-4A93-4419-BBDB-B8ACB9BD71F3}">
            <x14:iconSet iconSet="3Stars">
              <x14:cfvo type="percent">
                <xm:f>0</xm:f>
              </x14:cfvo>
              <x14:cfvo type="percent">
                <xm:f>33</xm:f>
              </x14:cfvo>
              <x14:cfvo type="percent">
                <xm:f>67</xm:f>
              </x14:cfvo>
            </x14:iconSet>
          </x14:cfRule>
          <xm:sqref>B333</xm:sqref>
        </x14:conditionalFormatting>
        <x14:conditionalFormatting xmlns:xm="http://schemas.microsoft.com/office/excel/2006/main">
          <x14:cfRule type="iconSet" priority="42" id="{07B2255A-96E6-45BD-8A58-181C9F7C676C}">
            <x14:iconSet iconSet="3Stars">
              <x14:cfvo type="percent">
                <xm:f>0</xm:f>
              </x14:cfvo>
              <x14:cfvo type="percent">
                <xm:f>33</xm:f>
              </x14:cfvo>
              <x14:cfvo type="percent">
                <xm:f>67</xm:f>
              </x14:cfvo>
            </x14:iconSet>
          </x14:cfRule>
          <xm:sqref>B337</xm:sqref>
        </x14:conditionalFormatting>
        <x14:conditionalFormatting xmlns:xm="http://schemas.microsoft.com/office/excel/2006/main">
          <x14:cfRule type="iconSet" priority="41" id="{F1536E78-F276-444C-99C0-AA33C3FAFCF5}">
            <x14:iconSet iconSet="3Stars">
              <x14:cfvo type="percent">
                <xm:f>0</xm:f>
              </x14:cfvo>
              <x14:cfvo type="percent">
                <xm:f>33</xm:f>
              </x14:cfvo>
              <x14:cfvo type="percent">
                <xm:f>67</xm:f>
              </x14:cfvo>
            </x14:iconSet>
          </x14:cfRule>
          <xm:sqref>B338</xm:sqref>
        </x14:conditionalFormatting>
        <x14:conditionalFormatting xmlns:xm="http://schemas.microsoft.com/office/excel/2006/main">
          <x14:cfRule type="iconSet" priority="40" id="{7FEFA6E9-6009-4547-A7E2-31D85E38B6A5}">
            <x14:iconSet iconSet="3Stars">
              <x14:cfvo type="percent">
                <xm:f>0</xm:f>
              </x14:cfvo>
              <x14:cfvo type="percent">
                <xm:f>33</xm:f>
              </x14:cfvo>
              <x14:cfvo type="percent">
                <xm:f>67</xm:f>
              </x14:cfvo>
            </x14:iconSet>
          </x14:cfRule>
          <xm:sqref>B340</xm:sqref>
        </x14:conditionalFormatting>
        <x14:conditionalFormatting xmlns:xm="http://schemas.microsoft.com/office/excel/2006/main">
          <x14:cfRule type="iconSet" priority="39" id="{CD0DEA65-3A66-427B-91A6-3BB1EC760C66}">
            <x14:iconSet iconSet="3Stars">
              <x14:cfvo type="percent">
                <xm:f>0</xm:f>
              </x14:cfvo>
              <x14:cfvo type="percent">
                <xm:f>33</xm:f>
              </x14:cfvo>
              <x14:cfvo type="percent">
                <xm:f>67</xm:f>
              </x14:cfvo>
            </x14:iconSet>
          </x14:cfRule>
          <xm:sqref>B341</xm:sqref>
        </x14:conditionalFormatting>
        <x14:conditionalFormatting xmlns:xm="http://schemas.microsoft.com/office/excel/2006/main">
          <x14:cfRule type="iconSet" priority="38" id="{39758234-D67B-4B0E-94C4-627296C03AE4}">
            <x14:iconSet iconSet="3Stars">
              <x14:cfvo type="percent">
                <xm:f>0</xm:f>
              </x14:cfvo>
              <x14:cfvo type="percent">
                <xm:f>33</xm:f>
              </x14:cfvo>
              <x14:cfvo type="percent">
                <xm:f>67</xm:f>
              </x14:cfvo>
            </x14:iconSet>
          </x14:cfRule>
          <xm:sqref>B342</xm:sqref>
        </x14:conditionalFormatting>
        <x14:conditionalFormatting xmlns:xm="http://schemas.microsoft.com/office/excel/2006/main">
          <x14:cfRule type="iconSet" priority="37" id="{9E05652F-8553-496D-B352-25C70E3B8415}">
            <x14:iconSet iconSet="3Stars">
              <x14:cfvo type="percent">
                <xm:f>0</xm:f>
              </x14:cfvo>
              <x14:cfvo type="percent">
                <xm:f>33</xm:f>
              </x14:cfvo>
              <x14:cfvo type="percent">
                <xm:f>67</xm:f>
              </x14:cfvo>
            </x14:iconSet>
          </x14:cfRule>
          <xm:sqref>B344</xm:sqref>
        </x14:conditionalFormatting>
        <x14:conditionalFormatting xmlns:xm="http://schemas.microsoft.com/office/excel/2006/main">
          <x14:cfRule type="iconSet" priority="36" id="{812333DF-1DF2-4E4C-82C8-9272A14A3011}">
            <x14:iconSet iconSet="3Stars">
              <x14:cfvo type="percent">
                <xm:f>0</xm:f>
              </x14:cfvo>
              <x14:cfvo type="percent">
                <xm:f>33</xm:f>
              </x14:cfvo>
              <x14:cfvo type="percent">
                <xm:f>67</xm:f>
              </x14:cfvo>
            </x14:iconSet>
          </x14:cfRule>
          <xm:sqref>B348</xm:sqref>
        </x14:conditionalFormatting>
        <x14:conditionalFormatting xmlns:xm="http://schemas.microsoft.com/office/excel/2006/main">
          <x14:cfRule type="iconSet" priority="35" id="{0BCE71CD-837B-42DF-AAA4-48C80E3AEA1B}">
            <x14:iconSet iconSet="3Stars">
              <x14:cfvo type="percent">
                <xm:f>0</xm:f>
              </x14:cfvo>
              <x14:cfvo type="percent">
                <xm:f>33</xm:f>
              </x14:cfvo>
              <x14:cfvo type="percent">
                <xm:f>67</xm:f>
              </x14:cfvo>
            </x14:iconSet>
          </x14:cfRule>
          <xm:sqref>B410</xm:sqref>
        </x14:conditionalFormatting>
        <x14:conditionalFormatting xmlns:xm="http://schemas.microsoft.com/office/excel/2006/main">
          <x14:cfRule type="iconSet" priority="34" id="{54E7AC29-4B99-44D0-8546-9A9385063B5F}">
            <x14:iconSet iconSet="3Stars">
              <x14:cfvo type="percent">
                <xm:f>0</xm:f>
              </x14:cfvo>
              <x14:cfvo type="percent">
                <xm:f>33</xm:f>
              </x14:cfvo>
              <x14:cfvo type="percent">
                <xm:f>67</xm:f>
              </x14:cfvo>
            </x14:iconSet>
          </x14:cfRule>
          <xm:sqref>B417</xm:sqref>
        </x14:conditionalFormatting>
        <x14:conditionalFormatting xmlns:xm="http://schemas.microsoft.com/office/excel/2006/main">
          <x14:cfRule type="iconSet" priority="33" id="{3B20A84C-AF31-4CD0-B8A8-83EFB9C4EFA6}">
            <x14:iconSet iconSet="3Stars">
              <x14:cfvo type="percent">
                <xm:f>0</xm:f>
              </x14:cfvo>
              <x14:cfvo type="percent">
                <xm:f>33</xm:f>
              </x14:cfvo>
              <x14:cfvo type="percent">
                <xm:f>67</xm:f>
              </x14:cfvo>
            </x14:iconSet>
          </x14:cfRule>
          <xm:sqref>B420</xm:sqref>
        </x14:conditionalFormatting>
        <x14:conditionalFormatting xmlns:xm="http://schemas.microsoft.com/office/excel/2006/main">
          <x14:cfRule type="iconSet" priority="32" id="{8E24F8BD-E34C-47DB-AD88-C59D7A0BDC71}">
            <x14:iconSet iconSet="3Stars">
              <x14:cfvo type="percent">
                <xm:f>0</xm:f>
              </x14:cfvo>
              <x14:cfvo type="percent">
                <xm:f>33</xm:f>
              </x14:cfvo>
              <x14:cfvo type="percent">
                <xm:f>67</xm:f>
              </x14:cfvo>
            </x14:iconSet>
          </x14:cfRule>
          <xm:sqref>B423</xm:sqref>
        </x14:conditionalFormatting>
        <x14:conditionalFormatting xmlns:xm="http://schemas.microsoft.com/office/excel/2006/main">
          <x14:cfRule type="iconSet" priority="31" id="{25EACBCB-7CDC-4860-B6C4-E25ED18E8388}">
            <x14:iconSet iconSet="3Stars">
              <x14:cfvo type="percent">
                <xm:f>0</xm:f>
              </x14:cfvo>
              <x14:cfvo type="percent">
                <xm:f>33</xm:f>
              </x14:cfvo>
              <x14:cfvo type="percent">
                <xm:f>67</xm:f>
              </x14:cfvo>
            </x14:iconSet>
          </x14:cfRule>
          <xm:sqref>B426</xm:sqref>
        </x14:conditionalFormatting>
        <x14:conditionalFormatting xmlns:xm="http://schemas.microsoft.com/office/excel/2006/main">
          <x14:cfRule type="iconSet" priority="29" id="{A7F2E7C9-E008-4FE0-8F5B-AFD6E2FB3FC0}">
            <x14:iconSet iconSet="3Stars">
              <x14:cfvo type="percent">
                <xm:f>0</xm:f>
              </x14:cfvo>
              <x14:cfvo type="percent">
                <xm:f>33</xm:f>
              </x14:cfvo>
              <x14:cfvo type="percent">
                <xm:f>67</xm:f>
              </x14:cfvo>
            </x14:iconSet>
          </x14:cfRule>
          <xm:sqref>B429</xm:sqref>
        </x14:conditionalFormatting>
        <x14:conditionalFormatting xmlns:xm="http://schemas.microsoft.com/office/excel/2006/main">
          <x14:cfRule type="iconSet" priority="27" id="{EAC0667B-A4E3-49E2-B728-3181D1B33A20}">
            <x14:iconSet iconSet="3Stars">
              <x14:cfvo type="percent">
                <xm:f>0</xm:f>
              </x14:cfvo>
              <x14:cfvo type="percent">
                <xm:f>33</xm:f>
              </x14:cfvo>
              <x14:cfvo type="percent">
                <xm:f>67</xm:f>
              </x14:cfvo>
            </x14:iconSet>
          </x14:cfRule>
          <xm:sqref>B433</xm:sqref>
        </x14:conditionalFormatting>
        <x14:conditionalFormatting xmlns:xm="http://schemas.microsoft.com/office/excel/2006/main">
          <x14:cfRule type="iconSet" priority="26" id="{BD0009F6-6DBB-4DC3-A7B1-6A79CF26E125}">
            <x14:iconSet iconSet="3Stars">
              <x14:cfvo type="percent">
                <xm:f>0</xm:f>
              </x14:cfvo>
              <x14:cfvo type="percent">
                <xm:f>33</xm:f>
              </x14:cfvo>
              <x14:cfvo type="percent">
                <xm:f>67</xm:f>
              </x14:cfvo>
            </x14:iconSet>
          </x14:cfRule>
          <xm:sqref>B436</xm:sqref>
        </x14:conditionalFormatting>
        <x14:conditionalFormatting xmlns:xm="http://schemas.microsoft.com/office/excel/2006/main">
          <x14:cfRule type="iconSet" priority="24" id="{3F8C7281-6C5E-4D49-84B0-D58798A526BD}">
            <x14:iconSet iconSet="3Stars">
              <x14:cfvo type="percent">
                <xm:f>0</xm:f>
              </x14:cfvo>
              <x14:cfvo type="percent">
                <xm:f>33</xm:f>
              </x14:cfvo>
              <x14:cfvo type="percent">
                <xm:f>67</xm:f>
              </x14:cfvo>
            </x14:iconSet>
          </x14:cfRule>
          <xm:sqref>B439</xm:sqref>
        </x14:conditionalFormatting>
        <x14:conditionalFormatting xmlns:xm="http://schemas.microsoft.com/office/excel/2006/main">
          <x14:cfRule type="iconSet" priority="23" id="{606F9C34-3DEF-4727-8AFA-226803751FA5}">
            <x14:iconSet iconSet="3Stars">
              <x14:cfvo type="percent">
                <xm:f>0</xm:f>
              </x14:cfvo>
              <x14:cfvo type="percent">
                <xm:f>33</xm:f>
              </x14:cfvo>
              <x14:cfvo type="percent">
                <xm:f>67</xm:f>
              </x14:cfvo>
            </x14:iconSet>
          </x14:cfRule>
          <xm:sqref>B450</xm:sqref>
        </x14:conditionalFormatting>
        <x14:conditionalFormatting xmlns:xm="http://schemas.microsoft.com/office/excel/2006/main">
          <x14:cfRule type="iconSet" priority="22" id="{F24D0C24-0A53-4109-A8EC-92CF3B924457}">
            <x14:iconSet iconSet="3Stars">
              <x14:cfvo type="percent">
                <xm:f>0</xm:f>
              </x14:cfvo>
              <x14:cfvo type="percent">
                <xm:f>33</xm:f>
              </x14:cfvo>
              <x14:cfvo type="percent">
                <xm:f>67</xm:f>
              </x14:cfvo>
            </x14:iconSet>
          </x14:cfRule>
          <xm:sqref>B453</xm:sqref>
        </x14:conditionalFormatting>
        <x14:conditionalFormatting xmlns:xm="http://schemas.microsoft.com/office/excel/2006/main">
          <x14:cfRule type="iconSet" priority="21" id="{DE8C0E6C-B8CA-4750-B9B6-BBD28C4E4429}">
            <x14:iconSet iconSet="3Stars">
              <x14:cfvo type="percent">
                <xm:f>0</xm:f>
              </x14:cfvo>
              <x14:cfvo type="percent">
                <xm:f>33</xm:f>
              </x14:cfvo>
              <x14:cfvo type="percent">
                <xm:f>67</xm:f>
              </x14:cfvo>
            </x14:iconSet>
          </x14:cfRule>
          <xm:sqref>B449</xm:sqref>
        </x14:conditionalFormatting>
        <x14:conditionalFormatting xmlns:xm="http://schemas.microsoft.com/office/excel/2006/main">
          <x14:cfRule type="iconSet" priority="20" id="{89A37AD9-54AA-4E0B-8B7D-398E3B9573B6}">
            <x14:iconSet iconSet="3Stars">
              <x14:cfvo type="percent">
                <xm:f>0</xm:f>
              </x14:cfvo>
              <x14:cfvo type="percent">
                <xm:f>33</xm:f>
              </x14:cfvo>
              <x14:cfvo type="percent">
                <xm:f>67</xm:f>
              </x14:cfvo>
            </x14:iconSet>
          </x14:cfRule>
          <xm:sqref>B468</xm:sqref>
        </x14:conditionalFormatting>
        <x14:conditionalFormatting xmlns:xm="http://schemas.microsoft.com/office/excel/2006/main">
          <x14:cfRule type="iconSet" priority="18" id="{2AD1A97C-CEC3-4D08-8D1B-02A994CCE162}">
            <x14:iconSet iconSet="3Stars">
              <x14:cfvo type="percent">
                <xm:f>0</xm:f>
              </x14:cfvo>
              <x14:cfvo type="percent">
                <xm:f>33</xm:f>
              </x14:cfvo>
              <x14:cfvo type="percent">
                <xm:f>67</xm:f>
              </x14:cfvo>
            </x14:iconSet>
          </x14:cfRule>
          <xm:sqref>B472</xm:sqref>
        </x14:conditionalFormatting>
        <x14:conditionalFormatting xmlns:xm="http://schemas.microsoft.com/office/excel/2006/main">
          <x14:cfRule type="iconSet" priority="17" id="{191623FB-02CB-4E8C-986C-3F9FE316AE51}">
            <x14:iconSet iconSet="3Stars">
              <x14:cfvo type="percent">
                <xm:f>0</xm:f>
              </x14:cfvo>
              <x14:cfvo type="percent">
                <xm:f>33</xm:f>
              </x14:cfvo>
              <x14:cfvo type="percent">
                <xm:f>67</xm:f>
              </x14:cfvo>
            </x14:iconSet>
          </x14:cfRule>
          <xm:sqref>B476</xm:sqref>
        </x14:conditionalFormatting>
        <x14:conditionalFormatting xmlns:xm="http://schemas.microsoft.com/office/excel/2006/main">
          <x14:cfRule type="iconSet" priority="16" id="{D2D01D00-B1B1-4A10-94B7-84B68DC3A839}">
            <x14:iconSet iconSet="3Stars">
              <x14:cfvo type="percent">
                <xm:f>0</xm:f>
              </x14:cfvo>
              <x14:cfvo type="percent">
                <xm:f>33</xm:f>
              </x14:cfvo>
              <x14:cfvo type="percent">
                <xm:f>67</xm:f>
              </x14:cfvo>
            </x14:iconSet>
          </x14:cfRule>
          <xm:sqref>B477</xm:sqref>
        </x14:conditionalFormatting>
        <x14:conditionalFormatting xmlns:xm="http://schemas.microsoft.com/office/excel/2006/main">
          <x14:cfRule type="iconSet" priority="15" id="{CC626DC8-4072-4554-BCC6-F7C4C8584AE6}">
            <x14:iconSet iconSet="3Stars">
              <x14:cfvo type="percent">
                <xm:f>0</xm:f>
              </x14:cfvo>
              <x14:cfvo type="percent">
                <xm:f>33</xm:f>
              </x14:cfvo>
              <x14:cfvo type="percent">
                <xm:f>67</xm:f>
              </x14:cfvo>
            </x14:iconSet>
          </x14:cfRule>
          <xm:sqref>B478</xm:sqref>
        </x14:conditionalFormatting>
        <x14:conditionalFormatting xmlns:xm="http://schemas.microsoft.com/office/excel/2006/main">
          <x14:cfRule type="iconSet" priority="14" id="{A6E44398-3498-4CC0-B368-F1A6D8C6150E}">
            <x14:iconSet iconSet="3Stars">
              <x14:cfvo type="percent">
                <xm:f>0</xm:f>
              </x14:cfvo>
              <x14:cfvo type="percent">
                <xm:f>33</xm:f>
              </x14:cfvo>
              <x14:cfvo type="percent">
                <xm:f>67</xm:f>
              </x14:cfvo>
            </x14:iconSet>
          </x14:cfRule>
          <xm:sqref>B479:B480</xm:sqref>
        </x14:conditionalFormatting>
        <x14:conditionalFormatting xmlns:xm="http://schemas.microsoft.com/office/excel/2006/main">
          <x14:cfRule type="iconSet" priority="12" id="{C02E0A4D-0CAF-41E3-8567-971FE3CD673E}">
            <x14:iconSet iconSet="3Stars">
              <x14:cfvo type="percent">
                <xm:f>0</xm:f>
              </x14:cfvo>
              <x14:cfvo type="percent">
                <xm:f>33</xm:f>
              </x14:cfvo>
              <x14:cfvo type="percent">
                <xm:f>67</xm:f>
              </x14:cfvo>
            </x14:iconSet>
          </x14:cfRule>
          <xm:sqref>B481</xm:sqref>
        </x14:conditionalFormatting>
        <x14:conditionalFormatting xmlns:xm="http://schemas.microsoft.com/office/excel/2006/main">
          <x14:cfRule type="iconSet" priority="11" id="{C057F0B9-F842-444E-A345-7319436EA2B5}">
            <x14:iconSet iconSet="3Stars">
              <x14:cfvo type="percent">
                <xm:f>0</xm:f>
              </x14:cfvo>
              <x14:cfvo type="percent">
                <xm:f>33</xm:f>
              </x14:cfvo>
              <x14:cfvo type="percent">
                <xm:f>67</xm:f>
              </x14:cfvo>
            </x14:iconSet>
          </x14:cfRule>
          <xm:sqref>B491</xm:sqref>
        </x14:conditionalFormatting>
        <x14:conditionalFormatting xmlns:xm="http://schemas.microsoft.com/office/excel/2006/main">
          <x14:cfRule type="iconSet" priority="8" id="{77A005DF-FC16-4060-87A8-D198E26BDB7D}">
            <x14:iconSet iconSet="3Stars">
              <x14:cfvo type="percent">
                <xm:f>0</xm:f>
              </x14:cfvo>
              <x14:cfvo type="percent">
                <xm:f>33</xm:f>
              </x14:cfvo>
              <x14:cfvo type="percent">
                <xm:f>67</xm:f>
              </x14:cfvo>
            </x14:iconSet>
          </x14:cfRule>
          <xm:sqref>B251</xm:sqref>
        </x14:conditionalFormatting>
        <x14:conditionalFormatting xmlns:xm="http://schemas.microsoft.com/office/excel/2006/main">
          <x14:cfRule type="iconSet" priority="7" id="{F219CECB-8CED-4DE6-B06E-5CFD9146FF67}">
            <x14:iconSet iconSet="3Stars">
              <x14:cfvo type="percent">
                <xm:f>0</xm:f>
              </x14:cfvo>
              <x14:cfvo type="percent">
                <xm:f>33</xm:f>
              </x14:cfvo>
              <x14:cfvo type="percent">
                <xm:f>67</xm:f>
              </x14:cfvo>
            </x14:iconSet>
          </x14:cfRule>
          <xm:sqref>B254:B255</xm:sqref>
        </x14:conditionalFormatting>
        <x14:conditionalFormatting xmlns:xm="http://schemas.microsoft.com/office/excel/2006/main">
          <x14:cfRule type="iconSet" priority="6" id="{AAF6F7F0-C8DD-431B-B459-CBD42BDF3816}">
            <x14:iconSet iconSet="3Stars">
              <x14:cfvo type="percent">
                <xm:f>0</xm:f>
              </x14:cfvo>
              <x14:cfvo type="percent">
                <xm:f>33</xm:f>
              </x14:cfvo>
              <x14:cfvo type="percent">
                <xm:f>67</xm:f>
              </x14:cfvo>
            </x14:iconSet>
          </x14:cfRule>
          <xm:sqref>B250</xm:sqref>
        </x14:conditionalFormatting>
        <x14:conditionalFormatting xmlns:xm="http://schemas.microsoft.com/office/excel/2006/main">
          <x14:cfRule type="iconSet" priority="5" id="{CC7125A7-3431-49DC-804A-D5EFB23519E5}">
            <x14:iconSet iconSet="3Stars">
              <x14:cfvo type="percent">
                <xm:f>0</xm:f>
              </x14:cfvo>
              <x14:cfvo type="percent">
                <xm:f>33</xm:f>
              </x14:cfvo>
              <x14:cfvo type="percent">
                <xm:f>67</xm:f>
              </x14:cfvo>
            </x14:iconSet>
          </x14:cfRule>
          <xm:sqref>B273</xm:sqref>
        </x14:conditionalFormatting>
        <x14:conditionalFormatting xmlns:xm="http://schemas.microsoft.com/office/excel/2006/main">
          <x14:cfRule type="iconSet" priority="4" id="{F684978E-F685-45C7-A143-2221FD9E3891}">
            <x14:iconSet iconSet="3Stars">
              <x14:cfvo type="percent">
                <xm:f>0</xm:f>
              </x14:cfvo>
              <x14:cfvo type="percent">
                <xm:f>33</xm:f>
              </x14:cfvo>
              <x14:cfvo type="percent">
                <xm:f>67</xm:f>
              </x14:cfvo>
            </x14:iconSet>
          </x14:cfRule>
          <xm:sqref>B274</xm:sqref>
        </x14:conditionalFormatting>
        <x14:conditionalFormatting xmlns:xm="http://schemas.microsoft.com/office/excel/2006/main">
          <x14:cfRule type="iconSet" priority="3" id="{EA457AD0-CA2C-472C-8446-DCCD22B98DB2}">
            <x14:iconSet iconSet="3Stars">
              <x14:cfvo type="percent">
                <xm:f>0</xm:f>
              </x14:cfvo>
              <x14:cfvo type="percent">
                <xm:f>33</xm:f>
              </x14:cfvo>
              <x14:cfvo type="percent">
                <xm:f>67</xm:f>
              </x14:cfvo>
            </x14:iconSet>
          </x14:cfRule>
          <xm:sqref>B277:B280</xm:sqref>
        </x14:conditionalFormatting>
        <x14:conditionalFormatting xmlns:xm="http://schemas.microsoft.com/office/excel/2006/main">
          <x14:cfRule type="iconSet" priority="99" id="{ABF858EA-9009-4EE9-848F-16B17F89B0FF}">
            <x14:iconSet iconSet="3Stars">
              <x14:cfvo type="percent">
                <xm:f>0</xm:f>
              </x14:cfvo>
              <x14:cfvo type="percent">
                <xm:f>33</xm:f>
              </x14:cfvo>
              <x14:cfvo type="percent">
                <xm:f>67</xm:f>
              </x14:cfvo>
            </x14:iconSet>
          </x14:cfRule>
          <xm:sqref>B201:B203</xm:sqref>
        </x14:conditionalFormatting>
        <x14:conditionalFormatting xmlns:xm="http://schemas.microsoft.com/office/excel/2006/main">
          <x14:cfRule type="iconSet" priority="1" id="{A2C977B6-C4B2-436C-925B-EB6C638944BB}">
            <x14:iconSet iconSet="3Stars">
              <x14:cfvo type="percent">
                <xm:f>0</xm:f>
              </x14:cfvo>
              <x14:cfvo type="percent">
                <xm:f>33</xm:f>
              </x14:cfvo>
              <x14:cfvo type="percent">
                <xm:f>67</xm:f>
              </x14:cfvo>
            </x14:iconSet>
          </x14:cfRule>
          <xm:sqref>B487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2"/>
  <sheetViews>
    <sheetView workbookViewId="0">
      <selection activeCell="H15" sqref="H15"/>
    </sheetView>
  </sheetViews>
  <sheetFormatPr defaultRowHeight="15" x14ac:dyDescent="0.25"/>
  <cols>
    <col min="1" max="1" width="1.42578125" customWidth="1"/>
    <col min="2" max="2" width="38.42578125" customWidth="1"/>
    <col min="3" max="3" width="12.7109375" customWidth="1"/>
    <col min="4" max="4" width="13" customWidth="1"/>
    <col min="5" max="5" width="12" customWidth="1"/>
    <col min="6" max="6" width="11.140625" customWidth="1"/>
    <col min="7" max="7" width="11.85546875" customWidth="1"/>
    <col min="8" max="8" width="10.85546875" customWidth="1"/>
    <col min="9" max="9" width="14" customWidth="1"/>
    <col min="10" max="10" width="10.5703125" customWidth="1"/>
    <col min="11" max="11" width="11.85546875" customWidth="1"/>
    <col min="12" max="12" width="10.28515625" customWidth="1"/>
    <col min="13" max="17" width="0" hidden="1" customWidth="1"/>
    <col min="18" max="18" width="14.28515625" bestFit="1" customWidth="1"/>
  </cols>
  <sheetData>
    <row r="1" spans="2:19" ht="7.5" customHeight="1" x14ac:dyDescent="0.25"/>
    <row r="2" spans="2:19" ht="20.25" thickBot="1" x14ac:dyDescent="0.35">
      <c r="B2" s="50" t="s">
        <v>447</v>
      </c>
      <c r="C2" s="50"/>
      <c r="D2" s="50"/>
      <c r="E2" s="50"/>
      <c r="F2" s="50"/>
      <c r="G2" s="50"/>
      <c r="H2" s="50"/>
      <c r="I2" s="50"/>
      <c r="J2" s="50"/>
      <c r="K2" s="50"/>
      <c r="L2" s="50"/>
      <c r="M2" s="50"/>
      <c r="N2" s="50"/>
      <c r="O2" s="50"/>
      <c r="P2" s="50"/>
      <c r="Q2" s="50"/>
      <c r="R2" s="50"/>
      <c r="S2" s="50"/>
    </row>
    <row r="3" spans="2:19" ht="15.75" thickTop="1" x14ac:dyDescent="0.25"/>
    <row r="4" spans="2:19" ht="30" x14ac:dyDescent="0.25">
      <c r="B4" s="2" t="s">
        <v>461</v>
      </c>
      <c r="C4" s="53" t="s">
        <v>811</v>
      </c>
      <c r="D4" s="53" t="s">
        <v>812</v>
      </c>
      <c r="E4" s="53" t="s">
        <v>813</v>
      </c>
      <c r="F4" s="53" t="s">
        <v>814</v>
      </c>
      <c r="G4" s="53" t="s">
        <v>815</v>
      </c>
      <c r="H4" s="53" t="s">
        <v>816</v>
      </c>
      <c r="I4" s="53" t="s">
        <v>817</v>
      </c>
      <c r="J4" s="53" t="s">
        <v>818</v>
      </c>
      <c r="K4" s="53" t="s">
        <v>819</v>
      </c>
      <c r="L4" s="53" t="s">
        <v>820</v>
      </c>
      <c r="M4" t="s">
        <v>36</v>
      </c>
      <c r="N4" t="s">
        <v>37</v>
      </c>
      <c r="O4" t="s">
        <v>38</v>
      </c>
      <c r="P4" t="s">
        <v>39</v>
      </c>
      <c r="Q4" t="s">
        <v>40</v>
      </c>
      <c r="R4" t="s">
        <v>41</v>
      </c>
    </row>
    <row r="5" spans="2:19" x14ac:dyDescent="0.25">
      <c r="B5" s="1" t="s">
        <v>464</v>
      </c>
      <c r="C5" s="12" t="s">
        <v>140</v>
      </c>
      <c r="D5" s="12" t="s">
        <v>156</v>
      </c>
      <c r="E5" s="12" t="s">
        <v>157</v>
      </c>
      <c r="F5" s="12" t="s">
        <v>154</v>
      </c>
      <c r="G5" s="12" t="s">
        <v>158</v>
      </c>
      <c r="H5" s="12" t="s">
        <v>155</v>
      </c>
      <c r="I5" s="12" t="s">
        <v>159</v>
      </c>
      <c r="J5" s="12" t="s">
        <v>160</v>
      </c>
      <c r="K5" s="12" t="s">
        <v>161</v>
      </c>
      <c r="L5" s="12" t="s">
        <v>162</v>
      </c>
      <c r="M5" s="12"/>
      <c r="N5" s="12"/>
      <c r="O5" s="12"/>
      <c r="P5" s="12"/>
      <c r="Q5" s="12"/>
    </row>
    <row r="6" spans="2:19" x14ac:dyDescent="0.25">
      <c r="B6" t="s">
        <v>22</v>
      </c>
      <c r="C6" s="3">
        <v>6</v>
      </c>
      <c r="D6" s="3">
        <v>10</v>
      </c>
      <c r="E6" s="3">
        <v>7</v>
      </c>
      <c r="F6" s="3">
        <v>7</v>
      </c>
      <c r="G6" s="3">
        <v>4</v>
      </c>
      <c r="H6" s="3">
        <v>5</v>
      </c>
      <c r="I6" s="3">
        <v>8</v>
      </c>
      <c r="J6" s="3">
        <v>7</v>
      </c>
      <c r="K6" s="3">
        <v>11</v>
      </c>
      <c r="L6" s="3">
        <v>7</v>
      </c>
      <c r="M6" s="3" t="e">
        <v>#N/A</v>
      </c>
      <c r="N6" s="3" t="e">
        <v>#N/A</v>
      </c>
      <c r="O6" s="3" t="e">
        <v>#N/A</v>
      </c>
      <c r="P6" s="3" t="e">
        <v>#N/A</v>
      </c>
      <c r="Q6" s="3" t="e">
        <v>#N/A</v>
      </c>
      <c r="R6" s="5">
        <f>SUMIF(C6:Q6,"&lt;&gt;#N/A")</f>
        <v>72</v>
      </c>
      <c r="S6" s="1" t="s">
        <v>45</v>
      </c>
    </row>
    <row r="7" spans="2:19" x14ac:dyDescent="0.25">
      <c r="B7" t="s">
        <v>23</v>
      </c>
      <c r="C7" s="59">
        <v>1267803</v>
      </c>
      <c r="D7" s="59">
        <v>1958623</v>
      </c>
      <c r="E7" s="59">
        <v>1707731</v>
      </c>
      <c r="F7" s="59">
        <v>958976</v>
      </c>
      <c r="G7" s="59">
        <v>2198996</v>
      </c>
      <c r="H7" s="59">
        <v>676769.23076923075</v>
      </c>
      <c r="I7" s="59">
        <v>182998400</v>
      </c>
      <c r="J7" s="59">
        <v>706462</v>
      </c>
      <c r="K7" s="59">
        <v>1606793</v>
      </c>
      <c r="L7" s="59">
        <v>881524</v>
      </c>
      <c r="M7" s="3" t="e">
        <v>#N/A</v>
      </c>
      <c r="N7" s="3" t="e">
        <v>#N/A</v>
      </c>
      <c r="O7" s="3" t="e">
        <v>#N/A</v>
      </c>
      <c r="P7" s="3" t="e">
        <v>#N/A</v>
      </c>
      <c r="Q7" s="3" t="e">
        <v>#N/A</v>
      </c>
      <c r="R7" s="60">
        <f t="shared" ref="R7:R11" si="0">SUMIF(C7:Q7,"&lt;&gt;#N/A")</f>
        <v>194962077.23076922</v>
      </c>
      <c r="S7" s="1" t="s">
        <v>45</v>
      </c>
    </row>
    <row r="8" spans="2:19" x14ac:dyDescent="0.25">
      <c r="B8" s="14" t="s">
        <v>573</v>
      </c>
      <c r="C8" s="3">
        <f>SUM(C9:C11)</f>
        <v>180</v>
      </c>
      <c r="D8" s="3">
        <f t="shared" ref="D8:L8" si="1">SUM(D9:D11)</f>
        <v>215</v>
      </c>
      <c r="E8" s="3">
        <f t="shared" si="1"/>
        <v>196</v>
      </c>
      <c r="F8" s="3">
        <f t="shared" si="1"/>
        <v>136</v>
      </c>
      <c r="G8" s="3">
        <f t="shared" si="1"/>
        <v>261</v>
      </c>
      <c r="H8" s="3">
        <f t="shared" si="1"/>
        <v>94</v>
      </c>
      <c r="I8" s="3">
        <f t="shared" si="1"/>
        <v>135</v>
      </c>
      <c r="J8" s="3">
        <f t="shared" si="1"/>
        <v>155</v>
      </c>
      <c r="K8" s="3">
        <f t="shared" si="1"/>
        <v>238</v>
      </c>
      <c r="L8" s="3">
        <f t="shared" si="1"/>
        <v>160</v>
      </c>
      <c r="M8" s="3" t="e">
        <v>#N/A</v>
      </c>
      <c r="N8" s="3" t="e">
        <v>#N/A</v>
      </c>
      <c r="O8" s="3" t="e">
        <v>#N/A</v>
      </c>
      <c r="P8" s="3" t="e">
        <v>#N/A</v>
      </c>
      <c r="Q8" s="3" t="e">
        <v>#N/A</v>
      </c>
      <c r="R8" s="5">
        <f t="shared" si="0"/>
        <v>1770</v>
      </c>
      <c r="S8" s="1" t="s">
        <v>45</v>
      </c>
    </row>
    <row r="9" spans="2:19" x14ac:dyDescent="0.25">
      <c r="B9" s="14" t="s">
        <v>42</v>
      </c>
      <c r="C9" s="3">
        <v>32</v>
      </c>
      <c r="D9" s="3">
        <v>137</v>
      </c>
      <c r="E9" s="3">
        <v>8</v>
      </c>
      <c r="F9" s="3">
        <v>1</v>
      </c>
      <c r="G9" s="3">
        <v>182</v>
      </c>
      <c r="H9" s="3">
        <v>5</v>
      </c>
      <c r="I9" s="3">
        <v>9</v>
      </c>
      <c r="J9" s="3">
        <v>19</v>
      </c>
      <c r="K9" s="3">
        <v>34</v>
      </c>
      <c r="L9" s="3">
        <v>11</v>
      </c>
      <c r="M9" s="3" t="e">
        <v>#N/A</v>
      </c>
      <c r="N9" s="3" t="e">
        <v>#N/A</v>
      </c>
      <c r="O9" s="3" t="e">
        <v>#N/A</v>
      </c>
      <c r="P9" s="3" t="e">
        <v>#N/A</v>
      </c>
      <c r="Q9" s="3" t="e">
        <v>#N/A</v>
      </c>
      <c r="R9" s="5">
        <f t="shared" si="0"/>
        <v>438</v>
      </c>
      <c r="S9" s="1" t="s">
        <v>45</v>
      </c>
    </row>
    <row r="10" spans="2:19" x14ac:dyDescent="0.25">
      <c r="B10" s="14" t="s">
        <v>43</v>
      </c>
      <c r="C10" s="3">
        <v>113</v>
      </c>
      <c r="D10" s="3">
        <v>53</v>
      </c>
      <c r="E10" s="3">
        <v>137</v>
      </c>
      <c r="F10" s="3">
        <v>125</v>
      </c>
      <c r="G10" s="3">
        <v>47</v>
      </c>
      <c r="H10" s="3">
        <v>71</v>
      </c>
      <c r="I10" s="3">
        <v>93</v>
      </c>
      <c r="J10" s="3">
        <v>120</v>
      </c>
      <c r="K10" s="3">
        <v>173</v>
      </c>
      <c r="L10" s="3">
        <v>125</v>
      </c>
      <c r="M10" s="3" t="e">
        <v>#N/A</v>
      </c>
      <c r="N10" s="3" t="e">
        <v>#N/A</v>
      </c>
      <c r="O10" s="3" t="e">
        <v>#N/A</v>
      </c>
      <c r="P10" s="3" t="e">
        <v>#N/A</v>
      </c>
      <c r="Q10" s="3" t="e">
        <v>#N/A</v>
      </c>
      <c r="R10" s="5">
        <f t="shared" si="0"/>
        <v>1057</v>
      </c>
      <c r="S10" s="1" t="s">
        <v>45</v>
      </c>
    </row>
    <row r="11" spans="2:19" x14ac:dyDescent="0.25">
      <c r="B11" s="14" t="s">
        <v>24</v>
      </c>
      <c r="C11" s="3">
        <v>35</v>
      </c>
      <c r="D11" s="3">
        <v>25</v>
      </c>
      <c r="E11" s="3">
        <v>51</v>
      </c>
      <c r="F11" s="3">
        <v>10</v>
      </c>
      <c r="G11" s="3">
        <v>32</v>
      </c>
      <c r="H11" s="3">
        <v>18</v>
      </c>
      <c r="I11" s="3">
        <v>33</v>
      </c>
      <c r="J11" s="3">
        <v>16</v>
      </c>
      <c r="K11" s="3">
        <v>31</v>
      </c>
      <c r="L11" s="3">
        <v>24</v>
      </c>
      <c r="M11" s="3" t="e">
        <v>#N/A</v>
      </c>
      <c r="N11" s="3" t="e">
        <v>#N/A</v>
      </c>
      <c r="O11" s="3" t="e">
        <v>#N/A</v>
      </c>
      <c r="P11" s="3" t="e">
        <v>#N/A</v>
      </c>
      <c r="Q11" s="3" t="e">
        <v>#N/A</v>
      </c>
      <c r="R11" s="5">
        <f t="shared" si="0"/>
        <v>275</v>
      </c>
      <c r="S11" s="1" t="s">
        <v>45</v>
      </c>
    </row>
    <row r="12" spans="2:19" x14ac:dyDescent="0.25">
      <c r="B12" s="14"/>
    </row>
    <row r="13" spans="2:19" x14ac:dyDescent="0.25">
      <c r="B13" s="15" t="s">
        <v>175</v>
      </c>
      <c r="C13" t="str">
        <f t="shared" ref="C13:Q13" si="2">C4</f>
        <v>Province/ region 1</v>
      </c>
      <c r="D13" t="str">
        <f t="shared" si="2"/>
        <v>Province/ region 2</v>
      </c>
      <c r="E13" t="str">
        <f t="shared" si="2"/>
        <v>Province/ region 3</v>
      </c>
      <c r="F13" t="str">
        <f t="shared" si="2"/>
        <v>Province/ region 4</v>
      </c>
      <c r="G13" t="str">
        <f t="shared" si="2"/>
        <v>Province/ region 5</v>
      </c>
      <c r="H13" t="str">
        <f t="shared" si="2"/>
        <v>Province/ region 6</v>
      </c>
      <c r="I13" t="str">
        <f t="shared" si="2"/>
        <v>Province/ region 7</v>
      </c>
      <c r="J13" t="str">
        <f t="shared" si="2"/>
        <v>Province/ region 8</v>
      </c>
      <c r="K13" t="str">
        <f t="shared" si="2"/>
        <v>Province/ region 9</v>
      </c>
      <c r="L13" t="str">
        <f t="shared" si="2"/>
        <v>Province/ region 10</v>
      </c>
      <c r="M13" t="str">
        <f t="shared" si="2"/>
        <v>Province/region 11</v>
      </c>
      <c r="N13" t="str">
        <f t="shared" si="2"/>
        <v>Province/region 12</v>
      </c>
      <c r="O13" t="str">
        <f t="shared" si="2"/>
        <v>Province/region 13</v>
      </c>
      <c r="P13" t="str">
        <f t="shared" si="2"/>
        <v>Province/region 14</v>
      </c>
      <c r="Q13" t="str">
        <f t="shared" si="2"/>
        <v>Province/region 15</v>
      </c>
      <c r="R13" t="s">
        <v>178</v>
      </c>
    </row>
    <row r="14" spans="2:19" x14ac:dyDescent="0.25">
      <c r="B14" s="15"/>
      <c r="C14" t="str">
        <f t="shared" ref="C14:Q14" si="3">C5</f>
        <v>Central</v>
      </c>
      <c r="D14" t="str">
        <f t="shared" si="3"/>
        <v>Copperbelt</v>
      </c>
      <c r="E14" t="str">
        <f t="shared" si="3"/>
        <v>Eastern</v>
      </c>
      <c r="F14" t="str">
        <f t="shared" si="3"/>
        <v>Luapula</v>
      </c>
      <c r="G14" t="str">
        <f t="shared" si="3"/>
        <v>Lusaka</v>
      </c>
      <c r="H14" t="str">
        <f t="shared" si="3"/>
        <v>Muchinga</v>
      </c>
      <c r="I14" t="str">
        <f t="shared" si="3"/>
        <v>Northern</v>
      </c>
      <c r="J14" t="str">
        <f t="shared" si="3"/>
        <v>North Western</v>
      </c>
      <c r="K14" t="str">
        <f t="shared" si="3"/>
        <v>Southern</v>
      </c>
      <c r="L14" t="str">
        <f t="shared" si="3"/>
        <v>Western</v>
      </c>
      <c r="M14">
        <f t="shared" si="3"/>
        <v>0</v>
      </c>
      <c r="N14">
        <f t="shared" si="3"/>
        <v>0</v>
      </c>
      <c r="O14">
        <f t="shared" si="3"/>
        <v>0</v>
      </c>
      <c r="P14">
        <f t="shared" si="3"/>
        <v>0</v>
      </c>
      <c r="Q14">
        <f t="shared" si="3"/>
        <v>0</v>
      </c>
      <c r="R14" t="s">
        <v>179</v>
      </c>
    </row>
    <row r="15" spans="2:19" x14ac:dyDescent="0.25">
      <c r="B15" s="13" t="s">
        <v>176</v>
      </c>
      <c r="C15" s="16">
        <v>0</v>
      </c>
      <c r="D15" s="16">
        <v>0</v>
      </c>
      <c r="E15" s="16">
        <v>0</v>
      </c>
      <c r="F15" s="16">
        <v>0</v>
      </c>
      <c r="G15" s="16">
        <v>0</v>
      </c>
      <c r="H15" s="16">
        <v>0</v>
      </c>
      <c r="I15" s="16">
        <v>0</v>
      </c>
      <c r="J15" s="16">
        <v>0</v>
      </c>
      <c r="K15" s="16">
        <v>0</v>
      </c>
      <c r="L15" s="16">
        <v>0</v>
      </c>
      <c r="M15" s="16">
        <v>0</v>
      </c>
      <c r="N15" s="16">
        <v>0</v>
      </c>
      <c r="O15" s="16">
        <v>0</v>
      </c>
      <c r="P15" s="16">
        <v>0</v>
      </c>
      <c r="Q15" s="16">
        <v>0</v>
      </c>
      <c r="R15" s="16">
        <v>1</v>
      </c>
    </row>
    <row r="16" spans="2:19" x14ac:dyDescent="0.25">
      <c r="B16" s="13" t="s">
        <v>177</v>
      </c>
      <c r="C16" s="17">
        <f>IF(VALUE(RIGHT(C4,2))&lt;='Costing inputs'!$E$8,1/'Costing inputs'!$E$8,0)</f>
        <v>0.1</v>
      </c>
      <c r="D16" s="17">
        <f>IF(VALUE(RIGHT(D4,2))&lt;='Costing inputs'!$E$8,1/'Costing inputs'!$E$8,0)</f>
        <v>0.1</v>
      </c>
      <c r="E16" s="17">
        <f>IF(VALUE(RIGHT(E4,2))&lt;='Costing inputs'!$E$8,1/'Costing inputs'!$E$8,0)</f>
        <v>0.1</v>
      </c>
      <c r="F16" s="17">
        <f>IF(VALUE(RIGHT(F4,2))&lt;='Costing inputs'!$E$8,1/'Costing inputs'!$E$8,0)</f>
        <v>0.1</v>
      </c>
      <c r="G16" s="17">
        <f>IF(VALUE(RIGHT(G4,2))&lt;='Costing inputs'!$E$8,1/'Costing inputs'!$E$8,0)</f>
        <v>0.1</v>
      </c>
      <c r="H16" s="17">
        <f>IF(VALUE(RIGHT(H4,2))&lt;='Costing inputs'!$E$8,1/'Costing inputs'!$E$8,0)</f>
        <v>0.1</v>
      </c>
      <c r="I16" s="17">
        <f>IF(VALUE(RIGHT(I4,2))&lt;='Costing inputs'!$E$8,1/'Costing inputs'!$E$8,0)</f>
        <v>0.1</v>
      </c>
      <c r="J16" s="17">
        <f>IF(VALUE(RIGHT(J4,2))&lt;='Costing inputs'!$E$8,1/'Costing inputs'!$E$8,0)</f>
        <v>0.1</v>
      </c>
      <c r="K16" s="17">
        <f>IF(VALUE(RIGHT(K4,2))&lt;='Costing inputs'!$E$8,1/'Costing inputs'!$E$8,0)</f>
        <v>0.1</v>
      </c>
      <c r="L16" s="17">
        <f>IF(VALUE(RIGHT(L4,2))&lt;='Costing inputs'!$E$8,1/'Costing inputs'!$E$8,0)</f>
        <v>0.1</v>
      </c>
      <c r="M16" s="17">
        <f>IF(VALUE(RIGHT(M4,2))&lt;='Costing inputs'!$E$8,1/'Costing inputs'!$E$8,0)</f>
        <v>0</v>
      </c>
      <c r="N16" s="17">
        <f>IF(VALUE(RIGHT(N4,2))&lt;='Costing inputs'!$E$8,1/'Costing inputs'!$E$8,0)</f>
        <v>0</v>
      </c>
      <c r="O16" s="17">
        <f>IF(VALUE(RIGHT(O4,2))&lt;='Costing inputs'!$E$8,1/'Costing inputs'!$E$8,0)</f>
        <v>0</v>
      </c>
      <c r="P16" s="17">
        <f>IF(VALUE(RIGHT(P4,2))&lt;='Costing inputs'!$E$8,1/'Costing inputs'!$E$8,0)</f>
        <v>0</v>
      </c>
      <c r="Q16" s="17">
        <f>IF(VALUE(RIGHT(Q4,2))&lt;='Costing inputs'!$E$8,1/'Costing inputs'!$E$8,0)</f>
        <v>0</v>
      </c>
      <c r="R16" s="17">
        <v>0</v>
      </c>
    </row>
    <row r="17" spans="2:18" x14ac:dyDescent="0.25">
      <c r="B17" s="13" t="s">
        <v>22</v>
      </c>
      <c r="C17" s="17">
        <f>IF(VALUE(RIGHT(C$4,2))&lt;='Costing inputs'!$E$8,C6/$R6,0)</f>
        <v>8.3333333333333329E-2</v>
      </c>
      <c r="D17" s="17">
        <f>IF(VALUE(RIGHT(D$4,2))&lt;='Costing inputs'!$E$8,D6/$R6,0)</f>
        <v>0.1388888888888889</v>
      </c>
      <c r="E17" s="17">
        <f>IF(VALUE(RIGHT(E$4,2))&lt;='Costing inputs'!$E$8,E6/$R6,0)</f>
        <v>9.7222222222222224E-2</v>
      </c>
      <c r="F17" s="17">
        <f>IF(VALUE(RIGHT(F$4,2))&lt;='Costing inputs'!$E$8,F6/$R6,0)</f>
        <v>9.7222222222222224E-2</v>
      </c>
      <c r="G17" s="17">
        <f>IF(VALUE(RIGHT(G$4,2))&lt;='Costing inputs'!$E$8,G6/$R6,0)</f>
        <v>5.5555555555555552E-2</v>
      </c>
      <c r="H17" s="17">
        <f>IF(VALUE(RIGHT(H$4,2))&lt;='Costing inputs'!$E$8,H6/$R6,0)</f>
        <v>6.9444444444444448E-2</v>
      </c>
      <c r="I17" s="17">
        <f>IF(VALUE(RIGHT(I$4,2))&lt;='Costing inputs'!$E$8,I6/$R6,0)</f>
        <v>0.1111111111111111</v>
      </c>
      <c r="J17" s="17">
        <f>IF(VALUE(RIGHT(J$4,2))&lt;='Costing inputs'!$E$8,J6/$R6,0)</f>
        <v>9.7222222222222224E-2</v>
      </c>
      <c r="K17" s="17">
        <f>IF(VALUE(RIGHT(K$4,2))&lt;='Costing inputs'!$E$8,K6/$R6,0)</f>
        <v>0.15277777777777779</v>
      </c>
      <c r="L17" s="17">
        <f>IF(VALUE(RIGHT(L$4,2))&lt;='Costing inputs'!$E$8,L6/$R6,0)</f>
        <v>9.7222222222222224E-2</v>
      </c>
      <c r="M17" s="17">
        <f>IF(VALUE(RIGHT(M$4,2))&lt;='Costing inputs'!$E$8,M6/$R6,0)</f>
        <v>0</v>
      </c>
      <c r="N17" s="17">
        <f>IF(VALUE(RIGHT(N$4,2))&lt;='Costing inputs'!$E$8,N6/$R6,0)</f>
        <v>0</v>
      </c>
      <c r="O17" s="17">
        <f>IF(VALUE(RIGHT(O$4,2))&lt;='Costing inputs'!$E$8,O6/$R6,0)</f>
        <v>0</v>
      </c>
      <c r="P17" s="17">
        <f>IF(VALUE(RIGHT(P$4,2))&lt;='Costing inputs'!$E$8,P6/$R6,0)</f>
        <v>0</v>
      </c>
      <c r="Q17" s="17">
        <f>IF(VALUE(RIGHT(Q$4,2))&lt;='Costing inputs'!$E$8,Q6/$R6,0)</f>
        <v>0</v>
      </c>
      <c r="R17" s="17">
        <v>0</v>
      </c>
    </row>
    <row r="18" spans="2:18" x14ac:dyDescent="0.25">
      <c r="B18" s="13" t="s">
        <v>23</v>
      </c>
      <c r="C18" s="17">
        <f>IF(VALUE(RIGHT(C$4,2))&lt;='Costing inputs'!$E$8,C7/$R7,0)</f>
        <v>6.5028184865888027E-3</v>
      </c>
      <c r="D18" s="17">
        <f>IF(VALUE(RIGHT(D$4,2))&lt;='Costing inputs'!$E$8,D7/$R7,0)</f>
        <v>1.0046174249988382E-2</v>
      </c>
      <c r="E18" s="17">
        <f>IF(VALUE(RIGHT(E$4,2))&lt;='Costing inputs'!$E$8,E7/$R7,0)</f>
        <v>8.7592983428188623E-3</v>
      </c>
      <c r="F18" s="17">
        <f>IF(VALUE(RIGHT(F$4,2))&lt;='Costing inputs'!$E$8,F7/$R7,0)</f>
        <v>4.9187822248369694E-3</v>
      </c>
      <c r="G18" s="17">
        <f>IF(VALUE(RIGHT(G$4,2))&lt;='Costing inputs'!$E$8,G7/$R7,0)</f>
        <v>1.1279096074654211E-2</v>
      </c>
      <c r="H18" s="17">
        <f>IF(VALUE(RIGHT(H$4,2))&lt;='Costing inputs'!$E$8,H7/$R7,0)</f>
        <v>3.4712865208558724E-3</v>
      </c>
      <c r="I18" s="17">
        <f>IF(VALUE(RIGHT(I$4,2))&lt;='Costing inputs'!$E$8,I7/$R7,0)</f>
        <v>0.93863587523942793</v>
      </c>
      <c r="J18" s="17">
        <f>IF(VALUE(RIGHT(J$4,2))&lt;='Costing inputs'!$E$8,J7/$R7,0)</f>
        <v>3.6235867509956192E-3</v>
      </c>
      <c r="K18" s="17">
        <f>IF(VALUE(RIGHT(K$4,2))&lt;='Costing inputs'!$E$8,K7/$R7,0)</f>
        <v>8.2415668873803607E-3</v>
      </c>
      <c r="L18" s="17">
        <f>IF(VALUE(RIGHT(L$4,2))&lt;='Costing inputs'!$E$8,L7/$R7,0)</f>
        <v>4.5215152224531005E-3</v>
      </c>
      <c r="M18" s="17">
        <f>IF(VALUE(RIGHT(M$4,2))&lt;='Costing inputs'!$E$8,M7/$R7,0)</f>
        <v>0</v>
      </c>
      <c r="N18" s="17">
        <f>IF(VALUE(RIGHT(N$4,2))&lt;='Costing inputs'!$E$8,N7/$R7,0)</f>
        <v>0</v>
      </c>
      <c r="O18" s="17">
        <f>IF(VALUE(RIGHT(O$4,2))&lt;='Costing inputs'!$E$8,O7/$R7,0)</f>
        <v>0</v>
      </c>
      <c r="P18" s="17">
        <f>IF(VALUE(RIGHT(P$4,2))&lt;='Costing inputs'!$E$8,P7/$R7,0)</f>
        <v>0</v>
      </c>
      <c r="Q18" s="17">
        <f>IF(VALUE(RIGHT(Q$4,2))&lt;='Costing inputs'!$E$8,Q7/$R7,0)</f>
        <v>0</v>
      </c>
      <c r="R18" s="17">
        <v>0</v>
      </c>
    </row>
    <row r="19" spans="2:18" x14ac:dyDescent="0.25">
      <c r="B19" s="14" t="s">
        <v>573</v>
      </c>
      <c r="C19" s="17">
        <f>IF(VALUE(RIGHT(C$4,2))&lt;='Costing inputs'!$E$8,C8/$R8,0)</f>
        <v>0.10169491525423729</v>
      </c>
      <c r="D19" s="17">
        <f>IF(VALUE(RIGHT(D$4,2))&lt;='Costing inputs'!$E$8,D8/$R8,0)</f>
        <v>0.12146892655367232</v>
      </c>
      <c r="E19" s="17">
        <f>IF(VALUE(RIGHT(E$4,2))&lt;='Costing inputs'!$E$8,E8/$R8,0)</f>
        <v>0.11073446327683616</v>
      </c>
      <c r="F19" s="17">
        <f>IF(VALUE(RIGHT(F$4,2))&lt;='Costing inputs'!$E$8,F8/$R8,0)</f>
        <v>7.6836158192090401E-2</v>
      </c>
      <c r="G19" s="17">
        <f>IF(VALUE(RIGHT(G$4,2))&lt;='Costing inputs'!$E$8,G8/$R8,0)</f>
        <v>0.14745762711864407</v>
      </c>
      <c r="H19" s="17">
        <f>IF(VALUE(RIGHT(H$4,2))&lt;='Costing inputs'!$E$8,H8/$R8,0)</f>
        <v>5.3107344632768359E-2</v>
      </c>
      <c r="I19" s="17">
        <f>IF(VALUE(RIGHT(I$4,2))&lt;='Costing inputs'!$E$8,I8/$R8,0)</f>
        <v>7.6271186440677971E-2</v>
      </c>
      <c r="J19" s="17">
        <f>IF(VALUE(RIGHT(J$4,2))&lt;='Costing inputs'!$E$8,J8/$R8,0)</f>
        <v>8.7570621468926552E-2</v>
      </c>
      <c r="K19" s="17">
        <f>IF(VALUE(RIGHT(K$4,2))&lt;='Costing inputs'!$E$8,K8/$R8,0)</f>
        <v>0.13446327683615819</v>
      </c>
      <c r="L19" s="17">
        <f>IF(VALUE(RIGHT(L$4,2))&lt;='Costing inputs'!$E$8,L8/$R8,0)</f>
        <v>9.03954802259887E-2</v>
      </c>
      <c r="M19" s="17">
        <f>IF(VALUE(RIGHT(M$4,2))&lt;='Costing inputs'!$E$8,M8/$R8,0)</f>
        <v>0</v>
      </c>
      <c r="N19" s="17">
        <f>IF(VALUE(RIGHT(N$4,2))&lt;='Costing inputs'!$E$8,N8/$R8,0)</f>
        <v>0</v>
      </c>
      <c r="O19" s="17">
        <f>IF(VALUE(RIGHT(O$4,2))&lt;='Costing inputs'!$E$8,O8/$R8,0)</f>
        <v>0</v>
      </c>
      <c r="P19" s="17">
        <f>IF(VALUE(RIGHT(P$4,2))&lt;='Costing inputs'!$E$8,P8/$R8,0)</f>
        <v>0</v>
      </c>
      <c r="Q19" s="17">
        <f>IF(VALUE(RIGHT(Q$4,2))&lt;='Costing inputs'!$E$8,Q8/$R8,0)</f>
        <v>0</v>
      </c>
      <c r="R19" s="17">
        <v>0</v>
      </c>
    </row>
    <row r="20" spans="2:18" x14ac:dyDescent="0.25">
      <c r="B20" s="13" t="s">
        <v>42</v>
      </c>
      <c r="C20" s="17">
        <f>IF(VALUE(RIGHT(C$4,2))&lt;='Costing inputs'!$E$8,C9/$R9,0)</f>
        <v>7.3059360730593603E-2</v>
      </c>
      <c r="D20" s="17">
        <f>IF(VALUE(RIGHT(D$4,2))&lt;='Costing inputs'!$E$8,D9/$R9,0)</f>
        <v>0.31278538812785389</v>
      </c>
      <c r="E20" s="17">
        <f>IF(VALUE(RIGHT(E$4,2))&lt;='Costing inputs'!$E$8,E9/$R9,0)</f>
        <v>1.8264840182648401E-2</v>
      </c>
      <c r="F20" s="17">
        <f>IF(VALUE(RIGHT(F$4,2))&lt;='Costing inputs'!$E$8,F9/$R9,0)</f>
        <v>2.2831050228310501E-3</v>
      </c>
      <c r="G20" s="17">
        <f>IF(VALUE(RIGHT(G$4,2))&lt;='Costing inputs'!$E$8,G9/$R9,0)</f>
        <v>0.41552511415525112</v>
      </c>
      <c r="H20" s="17">
        <f>IF(VALUE(RIGHT(H$4,2))&lt;='Costing inputs'!$E$8,H9/$R9,0)</f>
        <v>1.1415525114155251E-2</v>
      </c>
      <c r="I20" s="17">
        <f>IF(VALUE(RIGHT(I$4,2))&lt;='Costing inputs'!$E$8,I9/$R9,0)</f>
        <v>2.0547945205479451E-2</v>
      </c>
      <c r="J20" s="17">
        <f>IF(VALUE(RIGHT(J$4,2))&lt;='Costing inputs'!$E$8,J9/$R9,0)</f>
        <v>4.3378995433789952E-2</v>
      </c>
      <c r="K20" s="17">
        <f>IF(VALUE(RIGHT(K$4,2))&lt;='Costing inputs'!$E$8,K9/$R9,0)</f>
        <v>7.7625570776255703E-2</v>
      </c>
      <c r="L20" s="17">
        <f>IF(VALUE(RIGHT(L$4,2))&lt;='Costing inputs'!$E$8,L9/$R9,0)</f>
        <v>2.5114155251141551E-2</v>
      </c>
      <c r="M20" s="17">
        <f>IF(VALUE(RIGHT(M$4,2))&lt;='Costing inputs'!$E$8,M9/$R9,0)</f>
        <v>0</v>
      </c>
      <c r="N20" s="17">
        <f>IF(VALUE(RIGHT(N$4,2))&lt;='Costing inputs'!$E$8,N9/$R9,0)</f>
        <v>0</v>
      </c>
      <c r="O20" s="17">
        <f>IF(VALUE(RIGHT(O$4,2))&lt;='Costing inputs'!$E$8,O9/$R9,0)</f>
        <v>0</v>
      </c>
      <c r="P20" s="17">
        <f>IF(VALUE(RIGHT(P$4,2))&lt;='Costing inputs'!$E$8,P9/$R9,0)</f>
        <v>0</v>
      </c>
      <c r="Q20" s="17">
        <f>IF(VALUE(RIGHT(Q$4,2))&lt;='Costing inputs'!$E$8,Q9/$R9,0)</f>
        <v>0</v>
      </c>
      <c r="R20" s="17">
        <v>0</v>
      </c>
    </row>
    <row r="21" spans="2:18" x14ac:dyDescent="0.25">
      <c r="B21" s="13" t="s">
        <v>43</v>
      </c>
      <c r="C21" s="17">
        <f>IF(VALUE(RIGHT(C$4,2))&lt;='Costing inputs'!$E$8,C10/$R10,0)</f>
        <v>0.10690633869441817</v>
      </c>
      <c r="D21" s="17">
        <f>IF(VALUE(RIGHT(D$4,2))&lt;='Costing inputs'!$E$8,D10/$R10,0)</f>
        <v>5.0141911069063384E-2</v>
      </c>
      <c r="E21" s="17">
        <f>IF(VALUE(RIGHT(E$4,2))&lt;='Costing inputs'!$E$8,E10/$R10,0)</f>
        <v>0.12961210974456008</v>
      </c>
      <c r="F21" s="17">
        <f>IF(VALUE(RIGHT(F$4,2))&lt;='Costing inputs'!$E$8,F10/$R10,0)</f>
        <v>0.11825922421948912</v>
      </c>
      <c r="G21" s="17">
        <f>IF(VALUE(RIGHT(G$4,2))&lt;='Costing inputs'!$E$8,G10/$R10,0)</f>
        <v>4.4465468306527908E-2</v>
      </c>
      <c r="H21" s="17">
        <f>IF(VALUE(RIGHT(H$4,2))&lt;='Costing inputs'!$E$8,H10/$R10,0)</f>
        <v>6.7171239356669826E-2</v>
      </c>
      <c r="I21" s="17">
        <f>IF(VALUE(RIGHT(I$4,2))&lt;='Costing inputs'!$E$8,I10/$R10,0)</f>
        <v>8.7984862819299903E-2</v>
      </c>
      <c r="J21" s="17">
        <f>IF(VALUE(RIGHT(J$4,2))&lt;='Costing inputs'!$E$8,J10/$R10,0)</f>
        <v>0.11352885525070956</v>
      </c>
      <c r="K21" s="17">
        <f>IF(VALUE(RIGHT(K$4,2))&lt;='Costing inputs'!$E$8,K10/$R10,0)</f>
        <v>0.16367076631977295</v>
      </c>
      <c r="L21" s="17">
        <f>IF(VALUE(RIGHT(L$4,2))&lt;='Costing inputs'!$E$8,L10/$R10,0)</f>
        <v>0.11825922421948912</v>
      </c>
      <c r="M21" s="17">
        <f>IF(VALUE(RIGHT(M$4,2))&lt;='Costing inputs'!$E$8,M10/$R10,0)</f>
        <v>0</v>
      </c>
      <c r="N21" s="17">
        <f>IF(VALUE(RIGHT(N$4,2))&lt;='Costing inputs'!$E$8,N10/$R10,0)</f>
        <v>0</v>
      </c>
      <c r="O21" s="17">
        <f>IF(VALUE(RIGHT(O$4,2))&lt;='Costing inputs'!$E$8,O10/$R10,0)</f>
        <v>0</v>
      </c>
      <c r="P21" s="17">
        <f>IF(VALUE(RIGHT(P$4,2))&lt;='Costing inputs'!$E$8,P10/$R10,0)</f>
        <v>0</v>
      </c>
      <c r="Q21" s="17">
        <f>IF(VALUE(RIGHT(Q$4,2))&lt;='Costing inputs'!$E$8,Q10/$R10,0)</f>
        <v>0</v>
      </c>
      <c r="R21" s="17">
        <v>0</v>
      </c>
    </row>
    <row r="22" spans="2:18" x14ac:dyDescent="0.25">
      <c r="B22" s="13" t="s">
        <v>24</v>
      </c>
      <c r="C22" s="17">
        <f>IF(VALUE(RIGHT(C$4,2))&lt;='Costing inputs'!$E$8,C11/$R11,0)</f>
        <v>0.12727272727272726</v>
      </c>
      <c r="D22" s="17">
        <f>IF(VALUE(RIGHT(D$4,2))&lt;='Costing inputs'!$E$8,D11/$R11,0)</f>
        <v>9.0909090909090912E-2</v>
      </c>
      <c r="E22" s="17">
        <f>IF(VALUE(RIGHT(E$4,2))&lt;='Costing inputs'!$E$8,E11/$R11,0)</f>
        <v>0.18545454545454546</v>
      </c>
      <c r="F22" s="17">
        <f>IF(VALUE(RIGHT(F$4,2))&lt;='Costing inputs'!$E$8,F11/$R11,0)</f>
        <v>3.6363636363636362E-2</v>
      </c>
      <c r="G22" s="17">
        <f>IF(VALUE(RIGHT(G$4,2))&lt;='Costing inputs'!$E$8,G11/$R11,0)</f>
        <v>0.11636363636363636</v>
      </c>
      <c r="H22" s="17">
        <f>IF(VALUE(RIGHT(H$4,2))&lt;='Costing inputs'!$E$8,H11/$R11,0)</f>
        <v>6.545454545454546E-2</v>
      </c>
      <c r="I22" s="17">
        <f>IF(VALUE(RIGHT(I$4,2))&lt;='Costing inputs'!$E$8,I11/$R11,0)</f>
        <v>0.12</v>
      </c>
      <c r="J22" s="17">
        <f>IF(VALUE(RIGHT(J$4,2))&lt;='Costing inputs'!$E$8,J11/$R11,0)</f>
        <v>5.8181818181818182E-2</v>
      </c>
      <c r="K22" s="17">
        <f>IF(VALUE(RIGHT(K$4,2))&lt;='Costing inputs'!$E$8,K11/$R11,0)</f>
        <v>0.11272727272727273</v>
      </c>
      <c r="L22" s="17">
        <f>IF(VALUE(RIGHT(L$4,2))&lt;='Costing inputs'!$E$8,L11/$R11,0)</f>
        <v>8.727272727272728E-2</v>
      </c>
      <c r="M22" s="17">
        <f>IF(VALUE(RIGHT(M$4,2))&lt;='Costing inputs'!$E$8,M11/$R11,0)</f>
        <v>0</v>
      </c>
      <c r="N22" s="17">
        <f>IF(VALUE(RIGHT(N$4,2))&lt;='Costing inputs'!$E$8,N11/$R11,0)</f>
        <v>0</v>
      </c>
      <c r="O22" s="17">
        <f>IF(VALUE(RIGHT(O$4,2))&lt;='Costing inputs'!$E$8,O11/$R11,0)</f>
        <v>0</v>
      </c>
      <c r="P22" s="17">
        <f>IF(VALUE(RIGHT(P$4,2))&lt;='Costing inputs'!$E$8,P11/$R11,0)</f>
        <v>0</v>
      </c>
      <c r="Q22" s="17">
        <f>IF(VALUE(RIGHT(Q$4,2))&lt;='Costing inputs'!$E$8,Q11/$R11,0)</f>
        <v>0</v>
      </c>
      <c r="R22" s="17">
        <v>0</v>
      </c>
    </row>
  </sheetData>
  <sheetProtection password="F24F"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2"/>
  <sheetViews>
    <sheetView workbookViewId="0">
      <selection activeCell="G26" sqref="G26"/>
    </sheetView>
  </sheetViews>
  <sheetFormatPr defaultRowHeight="15" x14ac:dyDescent="0.25"/>
  <cols>
    <col min="1" max="1" width="1.42578125" customWidth="1"/>
    <col min="2" max="2" width="18.28515625" customWidth="1"/>
    <col min="3" max="3" width="14.28515625" customWidth="1"/>
  </cols>
  <sheetData>
    <row r="1" spans="2:18" ht="7.5" customHeight="1" x14ac:dyDescent="0.25"/>
    <row r="2" spans="2:18" ht="20.25" thickBot="1" x14ac:dyDescent="0.35">
      <c r="B2" s="50" t="s">
        <v>448</v>
      </c>
      <c r="C2" s="50"/>
      <c r="D2" s="50"/>
      <c r="E2" s="50"/>
      <c r="F2" s="50"/>
      <c r="G2" s="50"/>
      <c r="H2" s="50"/>
      <c r="I2" s="50"/>
      <c r="J2" s="50"/>
      <c r="K2" s="50"/>
      <c r="L2" s="50"/>
      <c r="M2" s="50"/>
      <c r="N2" s="50"/>
      <c r="O2" s="50"/>
      <c r="P2" s="50"/>
      <c r="Q2" s="50"/>
      <c r="R2" s="50"/>
    </row>
    <row r="3" spans="2:18" ht="15.75" thickTop="1" x14ac:dyDescent="0.25"/>
    <row r="4" spans="2:18" x14ac:dyDescent="0.25">
      <c r="D4" t="s">
        <v>25</v>
      </c>
      <c r="E4" t="s">
        <v>27</v>
      </c>
      <c r="F4" t="s">
        <v>28</v>
      </c>
      <c r="G4" t="s">
        <v>29</v>
      </c>
      <c r="H4" t="s">
        <v>30</v>
      </c>
      <c r="I4" t="s">
        <v>31</v>
      </c>
      <c r="J4" t="s">
        <v>32</v>
      </c>
      <c r="K4" t="s">
        <v>33</v>
      </c>
      <c r="L4" t="s">
        <v>34</v>
      </c>
      <c r="M4" t="s">
        <v>35</v>
      </c>
      <c r="N4" t="s">
        <v>36</v>
      </c>
      <c r="O4" t="s">
        <v>37</v>
      </c>
      <c r="P4" t="s">
        <v>38</v>
      </c>
      <c r="Q4" t="s">
        <v>39</v>
      </c>
      <c r="R4" t="s">
        <v>40</v>
      </c>
    </row>
    <row r="5" spans="2:18" ht="15.75" thickBot="1" x14ac:dyDescent="0.3">
      <c r="D5" s="22" t="e">
        <f>HLOOKUP(D4,'Regional splits'!$C$4:$Q$5,2,FALSE)</f>
        <v>#N/A</v>
      </c>
      <c r="E5" s="22" t="e">
        <f>HLOOKUP(E4,'Regional splits'!$C$4:$Q$5,2,FALSE)</f>
        <v>#N/A</v>
      </c>
      <c r="F5" s="22" t="e">
        <f>HLOOKUP(F4,'Regional splits'!$C$4:$Q$5,2,FALSE)</f>
        <v>#N/A</v>
      </c>
      <c r="G5" s="22" t="e">
        <f>HLOOKUP(G4,'Regional splits'!$C$4:$Q$5,2,FALSE)</f>
        <v>#N/A</v>
      </c>
      <c r="H5" s="22" t="e">
        <f>HLOOKUP(H4,'Regional splits'!$C$4:$Q$5,2,FALSE)</f>
        <v>#N/A</v>
      </c>
      <c r="I5" s="22" t="e">
        <f>HLOOKUP(I4,'Regional splits'!$C$4:$Q$5,2,FALSE)</f>
        <v>#N/A</v>
      </c>
      <c r="J5" s="22" t="e">
        <f>HLOOKUP(J4,'Regional splits'!$C$4:$Q$5,2,FALSE)</f>
        <v>#N/A</v>
      </c>
      <c r="K5" s="22" t="e">
        <f>HLOOKUP(K4,'Regional splits'!$C$4:$Q$5,2,FALSE)</f>
        <v>#N/A</v>
      </c>
      <c r="L5" s="22" t="e">
        <f>HLOOKUP(L4,'Regional splits'!$C$4:$Q$5,2,FALSE)</f>
        <v>#N/A</v>
      </c>
      <c r="M5" s="22" t="e">
        <f>HLOOKUP(M4,'Regional splits'!$C$4:$Q$5,2,FALSE)</f>
        <v>#N/A</v>
      </c>
      <c r="N5" s="22">
        <f>HLOOKUP(N4,'Regional splits'!$C$4:$Q$5,2,FALSE)</f>
        <v>0</v>
      </c>
      <c r="O5" s="22">
        <f>HLOOKUP(O4,'Regional splits'!$C$4:$Q$5,2,FALSE)</f>
        <v>0</v>
      </c>
      <c r="P5" s="22">
        <f>HLOOKUP(P4,'Regional splits'!$C$4:$Q$5,2,FALSE)</f>
        <v>0</v>
      </c>
      <c r="Q5" s="22">
        <f>HLOOKUP(Q4,'Regional splits'!$C$4:$Q$5,2,FALSE)</f>
        <v>0</v>
      </c>
      <c r="R5" s="22">
        <f>HLOOKUP(R4,'Regional splits'!$C$4:$Q$5,2,FALSE)</f>
        <v>0</v>
      </c>
    </row>
    <row r="6" spans="2:18" ht="15.75" thickTop="1" x14ac:dyDescent="0.25">
      <c r="B6" t="s">
        <v>463</v>
      </c>
      <c r="D6" s="3">
        <f>H7</f>
        <v>140</v>
      </c>
      <c r="E6" s="3">
        <f>H8</f>
        <v>319</v>
      </c>
      <c r="F6" s="3">
        <f>H9</f>
        <v>573</v>
      </c>
      <c r="G6" s="3">
        <f>H10</f>
        <v>757</v>
      </c>
      <c r="H6" s="3">
        <f>0</f>
        <v>0</v>
      </c>
      <c r="I6" s="3">
        <f>I10</f>
        <v>714</v>
      </c>
      <c r="J6" s="3">
        <f t="shared" ref="J6:M6" si="0">J10</f>
        <v>322</v>
      </c>
      <c r="K6" s="3">
        <f t="shared" si="0"/>
        <v>960</v>
      </c>
      <c r="L6" s="3">
        <f t="shared" si="0"/>
        <v>1044</v>
      </c>
      <c r="M6" s="3">
        <f t="shared" si="0"/>
        <v>1146</v>
      </c>
      <c r="N6" s="3" t="e">
        <v>#N/A</v>
      </c>
      <c r="O6" s="3" t="e">
        <v>#N/A</v>
      </c>
      <c r="P6" s="3" t="e">
        <v>#N/A</v>
      </c>
      <c r="Q6" s="3" t="e">
        <v>#N/A</v>
      </c>
      <c r="R6" s="3" t="e">
        <v>#N/A</v>
      </c>
    </row>
    <row r="7" spans="2:18" ht="15.75" thickBot="1" x14ac:dyDescent="0.3">
      <c r="B7" t="s">
        <v>25</v>
      </c>
      <c r="C7" s="22" t="e">
        <f>D5</f>
        <v>#N/A</v>
      </c>
      <c r="E7" s="3">
        <v>180</v>
      </c>
      <c r="F7" s="3">
        <v>710</v>
      </c>
      <c r="G7" s="3">
        <v>424</v>
      </c>
      <c r="H7" s="3">
        <v>140</v>
      </c>
      <c r="I7" s="3">
        <v>682</v>
      </c>
      <c r="J7" s="3">
        <v>718</v>
      </c>
      <c r="K7" s="3">
        <v>442</v>
      </c>
      <c r="L7" s="3">
        <v>426</v>
      </c>
      <c r="M7" s="3">
        <v>723</v>
      </c>
      <c r="N7" s="3" t="e">
        <v>#N/A</v>
      </c>
      <c r="O7" s="3" t="e">
        <v>#N/A</v>
      </c>
      <c r="P7" s="3" t="e">
        <v>#N/A</v>
      </c>
      <c r="Q7" s="3" t="e">
        <v>#N/A</v>
      </c>
      <c r="R7" s="3" t="e">
        <v>#N/A</v>
      </c>
    </row>
    <row r="8" spans="2:18" ht="16.5" thickTop="1" thickBot="1" x14ac:dyDescent="0.3">
      <c r="B8" t="s">
        <v>27</v>
      </c>
      <c r="C8" s="22" t="e">
        <f>E5</f>
        <v>#N/A</v>
      </c>
      <c r="F8" s="3">
        <v>890</v>
      </c>
      <c r="G8" s="3">
        <v>677</v>
      </c>
      <c r="H8" s="3">
        <v>319</v>
      </c>
      <c r="I8" s="3">
        <v>728</v>
      </c>
      <c r="J8" s="3">
        <v>764</v>
      </c>
      <c r="K8" s="3">
        <v>283</v>
      </c>
      <c r="L8" s="3">
        <v>606</v>
      </c>
      <c r="M8" s="3">
        <v>903</v>
      </c>
      <c r="N8" s="3" t="e">
        <v>#N/A</v>
      </c>
      <c r="O8" s="3" t="e">
        <v>#N/A</v>
      </c>
      <c r="P8" s="3" t="e">
        <v>#N/A</v>
      </c>
      <c r="Q8" s="3" t="e">
        <v>#N/A</v>
      </c>
      <c r="R8" s="3" t="e">
        <v>#N/A</v>
      </c>
    </row>
    <row r="9" spans="2:18" ht="16.5" thickTop="1" thickBot="1" x14ac:dyDescent="0.3">
      <c r="B9" t="s">
        <v>28</v>
      </c>
      <c r="C9" s="22" t="e">
        <f>F5</f>
        <v>#N/A</v>
      </c>
      <c r="G9" s="3">
        <v>1329</v>
      </c>
      <c r="H9" s="3">
        <v>573</v>
      </c>
      <c r="I9" s="3">
        <v>1394</v>
      </c>
      <c r="J9" s="3">
        <v>1430</v>
      </c>
      <c r="K9" s="3">
        <v>1152</v>
      </c>
      <c r="L9" s="3">
        <v>860</v>
      </c>
      <c r="M9" s="3">
        <v>1157</v>
      </c>
      <c r="N9" s="3" t="e">
        <v>#N/A</v>
      </c>
      <c r="O9" s="3" t="e">
        <v>#N/A</v>
      </c>
      <c r="P9" s="3" t="e">
        <v>#N/A</v>
      </c>
      <c r="Q9" s="3" t="e">
        <v>#N/A</v>
      </c>
      <c r="R9" s="3" t="e">
        <v>#N/A</v>
      </c>
    </row>
    <row r="10" spans="2:18" ht="16.5" thickTop="1" thickBot="1" x14ac:dyDescent="0.3">
      <c r="B10" t="s">
        <v>29</v>
      </c>
      <c r="C10" s="22" t="e">
        <f>G5</f>
        <v>#N/A</v>
      </c>
      <c r="H10" s="3">
        <v>757</v>
      </c>
      <c r="I10" s="3">
        <v>714</v>
      </c>
      <c r="J10" s="3">
        <v>322</v>
      </c>
      <c r="K10" s="3">
        <v>960</v>
      </c>
      <c r="L10" s="3">
        <v>1044</v>
      </c>
      <c r="M10" s="3">
        <v>1146</v>
      </c>
      <c r="N10" s="3" t="e">
        <v>#N/A</v>
      </c>
      <c r="O10" s="3" t="e">
        <v>#N/A</v>
      </c>
      <c r="P10" s="3" t="e">
        <v>#N/A</v>
      </c>
      <c r="Q10" s="3" t="e">
        <v>#N/A</v>
      </c>
      <c r="R10" s="3" t="e">
        <v>#N/A</v>
      </c>
    </row>
    <row r="11" spans="2:18" ht="16.5" thickTop="1" thickBot="1" x14ac:dyDescent="0.3">
      <c r="B11" t="s">
        <v>30</v>
      </c>
      <c r="C11" s="22" t="e">
        <f>H5</f>
        <v>#N/A</v>
      </c>
      <c r="I11" s="3">
        <v>821</v>
      </c>
      <c r="J11" s="3">
        <v>857</v>
      </c>
      <c r="K11" s="3">
        <v>581</v>
      </c>
      <c r="L11" s="3">
        <v>287</v>
      </c>
      <c r="M11" s="3">
        <v>585</v>
      </c>
      <c r="N11" s="3" t="e">
        <v>#N/A</v>
      </c>
      <c r="O11" s="3" t="e">
        <v>#N/A</v>
      </c>
      <c r="P11" s="3" t="e">
        <v>#N/A</v>
      </c>
      <c r="Q11" s="3" t="e">
        <v>#N/A</v>
      </c>
      <c r="R11" s="3" t="e">
        <v>#N/A</v>
      </c>
    </row>
    <row r="12" spans="2:18" ht="16.5" thickTop="1" thickBot="1" x14ac:dyDescent="0.3">
      <c r="B12" t="s">
        <v>31</v>
      </c>
      <c r="C12" s="22" t="e">
        <f>I5</f>
        <v>#N/A</v>
      </c>
      <c r="J12" s="3">
        <v>392</v>
      </c>
      <c r="K12" s="3">
        <v>990</v>
      </c>
      <c r="L12" s="3">
        <v>1108</v>
      </c>
      <c r="M12" s="3">
        <v>1405</v>
      </c>
      <c r="N12" s="3" t="e">
        <v>#N/A</v>
      </c>
      <c r="O12" s="3" t="e">
        <v>#N/A</v>
      </c>
      <c r="P12" s="3" t="e">
        <v>#N/A</v>
      </c>
      <c r="Q12" s="3" t="e">
        <v>#N/A</v>
      </c>
      <c r="R12" s="3" t="e">
        <v>#N/A</v>
      </c>
    </row>
    <row r="13" spans="2:18" ht="16.5" thickTop="1" thickBot="1" x14ac:dyDescent="0.3">
      <c r="B13" t="s">
        <v>32</v>
      </c>
      <c r="C13" s="22" t="e">
        <f>J5</f>
        <v>#N/A</v>
      </c>
      <c r="K13" s="3">
        <v>1025</v>
      </c>
      <c r="L13" s="3">
        <v>1143</v>
      </c>
      <c r="M13" s="3">
        <v>1440</v>
      </c>
      <c r="N13" s="3" t="e">
        <v>#N/A</v>
      </c>
      <c r="O13" s="3" t="e">
        <v>#N/A</v>
      </c>
      <c r="P13" s="3" t="e">
        <v>#N/A</v>
      </c>
      <c r="Q13" s="3" t="e">
        <v>#N/A</v>
      </c>
      <c r="R13" s="3" t="e">
        <v>#N/A</v>
      </c>
    </row>
    <row r="14" spans="2:18" ht="16.5" thickTop="1" thickBot="1" x14ac:dyDescent="0.3">
      <c r="B14" t="s">
        <v>33</v>
      </c>
      <c r="C14" s="22" t="e">
        <f>K5</f>
        <v>#N/A</v>
      </c>
      <c r="L14" s="3">
        <v>868</v>
      </c>
      <c r="M14" s="3">
        <v>1164</v>
      </c>
      <c r="N14" s="3" t="e">
        <v>#N/A</v>
      </c>
      <c r="O14" s="3" t="e">
        <v>#N/A</v>
      </c>
      <c r="P14" s="3" t="e">
        <v>#N/A</v>
      </c>
      <c r="Q14" s="3" t="e">
        <v>#N/A</v>
      </c>
      <c r="R14" s="3" t="e">
        <v>#N/A</v>
      </c>
    </row>
    <row r="15" spans="2:18" ht="16.5" thickTop="1" thickBot="1" x14ac:dyDescent="0.3">
      <c r="B15" t="s">
        <v>34</v>
      </c>
      <c r="C15" s="22" t="e">
        <f>L5</f>
        <v>#N/A</v>
      </c>
      <c r="M15" s="3">
        <v>698</v>
      </c>
      <c r="N15" s="3" t="e">
        <v>#N/A</v>
      </c>
      <c r="O15" s="3" t="e">
        <v>#N/A</v>
      </c>
      <c r="P15" s="3" t="e">
        <v>#N/A</v>
      </c>
      <c r="Q15" s="3" t="e">
        <v>#N/A</v>
      </c>
      <c r="R15" s="3" t="e">
        <v>#N/A</v>
      </c>
    </row>
    <row r="16" spans="2:18" ht="16.5" thickTop="1" thickBot="1" x14ac:dyDescent="0.3">
      <c r="B16" t="s">
        <v>35</v>
      </c>
      <c r="C16" s="22" t="e">
        <f>M5</f>
        <v>#N/A</v>
      </c>
      <c r="N16" s="3" t="e">
        <v>#N/A</v>
      </c>
      <c r="O16" s="3" t="e">
        <v>#N/A</v>
      </c>
      <c r="P16" s="3" t="e">
        <v>#N/A</v>
      </c>
      <c r="Q16" s="3" t="e">
        <v>#N/A</v>
      </c>
      <c r="R16" s="3" t="e">
        <v>#N/A</v>
      </c>
    </row>
    <row r="17" spans="2:18" ht="16.5" thickTop="1" thickBot="1" x14ac:dyDescent="0.3">
      <c r="B17" t="s">
        <v>36</v>
      </c>
      <c r="C17" s="22">
        <f>N5</f>
        <v>0</v>
      </c>
      <c r="O17" s="3" t="e">
        <v>#N/A</v>
      </c>
      <c r="P17" s="3" t="e">
        <v>#N/A</v>
      </c>
      <c r="Q17" s="3" t="e">
        <v>#N/A</v>
      </c>
      <c r="R17" s="3" t="e">
        <v>#N/A</v>
      </c>
    </row>
    <row r="18" spans="2:18" ht="16.5" thickTop="1" thickBot="1" x14ac:dyDescent="0.3">
      <c r="B18" t="s">
        <v>37</v>
      </c>
      <c r="C18" s="22">
        <f>O5</f>
        <v>0</v>
      </c>
      <c r="P18" s="3" t="e">
        <v>#N/A</v>
      </c>
      <c r="Q18" s="3" t="e">
        <v>#N/A</v>
      </c>
      <c r="R18" s="3" t="e">
        <v>#N/A</v>
      </c>
    </row>
    <row r="19" spans="2:18" ht="16.5" thickTop="1" thickBot="1" x14ac:dyDescent="0.3">
      <c r="B19" t="s">
        <v>38</v>
      </c>
      <c r="C19" s="22">
        <f>P5</f>
        <v>0</v>
      </c>
      <c r="Q19" s="3" t="e">
        <v>#N/A</v>
      </c>
      <c r="R19" s="3" t="e">
        <v>#N/A</v>
      </c>
    </row>
    <row r="20" spans="2:18" ht="16.5" thickTop="1" thickBot="1" x14ac:dyDescent="0.3">
      <c r="B20" t="s">
        <v>39</v>
      </c>
      <c r="C20" s="22">
        <f>Q5</f>
        <v>0</v>
      </c>
      <c r="R20" s="3" t="e">
        <v>#N/A</v>
      </c>
    </row>
    <row r="21" spans="2:18" ht="16.5" thickTop="1" thickBot="1" x14ac:dyDescent="0.3">
      <c r="B21" t="s">
        <v>40</v>
      </c>
      <c r="C21" s="22">
        <f>R5</f>
        <v>0</v>
      </c>
    </row>
    <row r="22" spans="2:18" ht="15.75" thickTop="1" x14ac:dyDescent="0.25"/>
  </sheetData>
  <sheetProtection password="F24F"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36"/>
  <sheetViews>
    <sheetView workbookViewId="0">
      <pane ySplit="2" topLeftCell="A3" activePane="bottomLeft" state="frozen"/>
      <selection pane="bottomLeft" activeCell="R86" sqref="R86"/>
    </sheetView>
  </sheetViews>
  <sheetFormatPr defaultRowHeight="15" x14ac:dyDescent="0.25"/>
  <cols>
    <col min="1" max="1" width="1.42578125" customWidth="1"/>
    <col min="2" max="2" width="2.5703125" customWidth="1"/>
    <col min="3" max="3" width="13.28515625" customWidth="1"/>
    <col min="4" max="4" width="9.28515625" customWidth="1"/>
    <col min="5" max="5" width="1.42578125" customWidth="1"/>
    <col min="6" max="6" width="11.85546875" bestFit="1" customWidth="1"/>
    <col min="7" max="14" width="16" bestFit="1" customWidth="1"/>
    <col min="15" max="16" width="11.85546875" bestFit="1" customWidth="1"/>
    <col min="17" max="17" width="1.42578125" customWidth="1"/>
    <col min="18" max="18" width="19.140625" customWidth="1"/>
    <col min="19" max="19" width="7.85546875" customWidth="1"/>
    <col min="20" max="20" width="24.5703125" customWidth="1"/>
  </cols>
  <sheetData>
    <row r="1" spans="2:20" ht="7.5" customHeight="1" x14ac:dyDescent="0.25"/>
    <row r="2" spans="2:20" x14ac:dyDescent="0.25">
      <c r="F2" s="2">
        <f>G2-1</f>
        <v>2012</v>
      </c>
      <c r="G2" s="2">
        <f>'Costing inputs'!AP3</f>
        <v>2013</v>
      </c>
      <c r="H2" s="2">
        <f>'Costing inputs'!AQ3</f>
        <v>2014</v>
      </c>
      <c r="I2" s="2">
        <f>'Costing inputs'!AR3</f>
        <v>2015</v>
      </c>
      <c r="J2" s="2">
        <f>'Costing inputs'!AS3</f>
        <v>2016</v>
      </c>
      <c r="K2" s="2">
        <f>'Costing inputs'!AT3</f>
        <v>2017</v>
      </c>
      <c r="L2" s="2">
        <f>'Costing inputs'!AU3</f>
        <v>2018</v>
      </c>
      <c r="M2" s="2">
        <f>'Costing inputs'!AV3</f>
        <v>2019</v>
      </c>
      <c r="N2" s="2">
        <f>'Costing inputs'!AW3</f>
        <v>2020</v>
      </c>
      <c r="O2" s="2">
        <f>'Costing inputs'!AX3</f>
        <v>2021</v>
      </c>
      <c r="P2" s="2">
        <f>'Costing inputs'!AY3</f>
        <v>2022</v>
      </c>
    </row>
    <row r="3" spans="2:20" ht="20.25" thickBot="1" x14ac:dyDescent="0.35">
      <c r="B3" s="50" t="s">
        <v>465</v>
      </c>
      <c r="C3" s="50"/>
      <c r="D3" s="50"/>
      <c r="E3" s="50"/>
      <c r="F3" s="50"/>
      <c r="G3" s="50"/>
      <c r="H3" s="50"/>
      <c r="I3" s="50"/>
      <c r="J3" s="50"/>
      <c r="K3" s="50"/>
      <c r="L3" s="50"/>
      <c r="M3" s="50"/>
      <c r="N3" s="50"/>
      <c r="O3" s="50"/>
      <c r="P3" s="50"/>
      <c r="Q3" s="50"/>
      <c r="R3" s="50"/>
      <c r="S3" s="50"/>
      <c r="T3" s="50"/>
    </row>
    <row r="4" spans="2:20" ht="15.75" thickTop="1" x14ac:dyDescent="0.25"/>
    <row r="5" spans="2:20" ht="15.75" thickBot="1" x14ac:dyDescent="0.3">
      <c r="B5" s="51" t="s">
        <v>23</v>
      </c>
      <c r="C5" s="51"/>
      <c r="D5" s="51"/>
      <c r="E5" s="51"/>
      <c r="F5" s="51"/>
      <c r="G5" s="51"/>
      <c r="H5" s="51"/>
      <c r="I5" s="51"/>
      <c r="J5" s="51"/>
      <c r="K5" s="51"/>
      <c r="L5" s="51"/>
      <c r="M5" s="51"/>
      <c r="N5" s="51"/>
      <c r="O5" s="51"/>
      <c r="P5" s="51"/>
      <c r="Q5" s="51"/>
      <c r="R5" s="51"/>
      <c r="S5" s="51"/>
      <c r="T5" s="51"/>
    </row>
    <row r="6" spans="2:20" x14ac:dyDescent="0.25">
      <c r="C6" t="s">
        <v>466</v>
      </c>
      <c r="D6" s="1" t="s">
        <v>483</v>
      </c>
      <c r="F6" s="59" t="e">
        <v>#N/A</v>
      </c>
      <c r="G6" s="60" t="e">
        <f>F6*(1+$S$7)</f>
        <v>#N/A</v>
      </c>
      <c r="H6" s="60" t="e">
        <f t="shared" ref="H6:P6" si="0">G6*(1+$S$7)</f>
        <v>#N/A</v>
      </c>
      <c r="I6" s="60" t="e">
        <f t="shared" si="0"/>
        <v>#N/A</v>
      </c>
      <c r="J6" s="60" t="e">
        <f t="shared" si="0"/>
        <v>#N/A</v>
      </c>
      <c r="K6" s="60" t="e">
        <f t="shared" si="0"/>
        <v>#N/A</v>
      </c>
      <c r="L6" s="60" t="e">
        <f t="shared" si="0"/>
        <v>#N/A</v>
      </c>
      <c r="M6" s="60" t="e">
        <f t="shared" si="0"/>
        <v>#N/A</v>
      </c>
      <c r="N6" s="60" t="e">
        <f t="shared" si="0"/>
        <v>#N/A</v>
      </c>
      <c r="O6" s="60" t="e">
        <f t="shared" si="0"/>
        <v>#N/A</v>
      </c>
      <c r="P6" s="60" t="e">
        <f t="shared" si="0"/>
        <v>#N/A</v>
      </c>
    </row>
    <row r="7" spans="2:20" x14ac:dyDescent="0.25">
      <c r="C7" t="s">
        <v>170</v>
      </c>
      <c r="D7" s="1" t="s">
        <v>482</v>
      </c>
      <c r="F7" s="59">
        <v>3175761.952446281</v>
      </c>
      <c r="G7" s="60">
        <f>F7*(1+$S$7)</f>
        <v>3277386.3349245619</v>
      </c>
      <c r="H7" s="60">
        <f t="shared" ref="H7:P7" si="1">G7*(1+$S$7)</f>
        <v>3382262.697642148</v>
      </c>
      <c r="I7" s="60">
        <f t="shared" si="1"/>
        <v>3490495.1039666967</v>
      </c>
      <c r="J7" s="60">
        <f t="shared" si="1"/>
        <v>3602190.9472936313</v>
      </c>
      <c r="K7" s="60">
        <f t="shared" si="1"/>
        <v>3717461.0576070277</v>
      </c>
      <c r="L7" s="60">
        <f t="shared" si="1"/>
        <v>3836419.8114504525</v>
      </c>
      <c r="M7" s="60">
        <f t="shared" si="1"/>
        <v>3959185.2454168671</v>
      </c>
      <c r="N7" s="60">
        <f t="shared" si="1"/>
        <v>4085879.1732702069</v>
      </c>
      <c r="O7" s="60">
        <f t="shared" si="1"/>
        <v>4216627.306814854</v>
      </c>
      <c r="P7" s="60">
        <f t="shared" si="1"/>
        <v>4351559.3806329295</v>
      </c>
      <c r="R7" t="s">
        <v>467</v>
      </c>
      <c r="S7" s="46">
        <v>3.2000000000000001E-2</v>
      </c>
      <c r="T7" s="1" t="s">
        <v>481</v>
      </c>
    </row>
    <row r="8" spans="2:20" x14ac:dyDescent="0.25">
      <c r="F8" s="61"/>
      <c r="G8" s="61"/>
      <c r="H8" s="61"/>
      <c r="I8" s="61"/>
      <c r="J8" s="61"/>
      <c r="K8" s="61"/>
      <c r="L8" s="61"/>
      <c r="M8" s="61"/>
      <c r="N8" s="61"/>
      <c r="O8" s="61"/>
      <c r="P8" s="61"/>
      <c r="R8" t="s">
        <v>468</v>
      </c>
      <c r="S8" s="46">
        <v>0.60899999999999999</v>
      </c>
      <c r="T8" s="1" t="s">
        <v>486</v>
      </c>
    </row>
    <row r="9" spans="2:20" x14ac:dyDescent="0.25">
      <c r="C9" t="s">
        <v>469</v>
      </c>
      <c r="F9" s="60">
        <f>F7*$S$8</f>
        <v>1934039.029039785</v>
      </c>
      <c r="G9" s="60">
        <f t="shared" ref="G9:P9" si="2">G7*$S$8</f>
        <v>1995928.2779690581</v>
      </c>
      <c r="H9" s="60">
        <f t="shared" si="2"/>
        <v>2059797.9828640681</v>
      </c>
      <c r="I9" s="60">
        <f t="shared" si="2"/>
        <v>2125711.518315718</v>
      </c>
      <c r="J9" s="60">
        <f t="shared" si="2"/>
        <v>2193734.2869018214</v>
      </c>
      <c r="K9" s="60">
        <f t="shared" si="2"/>
        <v>2263933.78408268</v>
      </c>
      <c r="L9" s="60">
        <f t="shared" si="2"/>
        <v>2336379.6651733257</v>
      </c>
      <c r="M9" s="60">
        <f t="shared" si="2"/>
        <v>2411143.8144588722</v>
      </c>
      <c r="N9" s="60">
        <f t="shared" si="2"/>
        <v>2488300.4165215557</v>
      </c>
      <c r="O9" s="60">
        <f t="shared" si="2"/>
        <v>2567926.0298502459</v>
      </c>
      <c r="P9" s="60">
        <f t="shared" si="2"/>
        <v>2650099.6628054539</v>
      </c>
      <c r="R9" t="s">
        <v>685</v>
      </c>
      <c r="S9" s="46">
        <f>10.8/(10.8+28.3)</f>
        <v>0.27621483375959083</v>
      </c>
      <c r="T9" s="1" t="s">
        <v>514</v>
      </c>
    </row>
    <row r="10" spans="2:20" x14ac:dyDescent="0.25">
      <c r="C10" t="s">
        <v>470</v>
      </c>
      <c r="F10" s="60">
        <f>F7-F9</f>
        <v>1241722.9234064959</v>
      </c>
      <c r="G10" s="60">
        <f t="shared" ref="G10:P10" si="3">G7-G9</f>
        <v>1281458.0569555038</v>
      </c>
      <c r="H10" s="60">
        <f t="shared" si="3"/>
        <v>1322464.7147780799</v>
      </c>
      <c r="I10" s="60">
        <f t="shared" si="3"/>
        <v>1364783.5856509786</v>
      </c>
      <c r="J10" s="60">
        <f t="shared" si="3"/>
        <v>1408456.6603918099</v>
      </c>
      <c r="K10" s="60">
        <f t="shared" si="3"/>
        <v>1453527.2735243477</v>
      </c>
      <c r="L10" s="60">
        <f t="shared" si="3"/>
        <v>1500040.1462771269</v>
      </c>
      <c r="M10" s="60">
        <f t="shared" si="3"/>
        <v>1548041.4309579949</v>
      </c>
      <c r="N10" s="60">
        <f t="shared" si="3"/>
        <v>1597578.7567486512</v>
      </c>
      <c r="O10" s="60">
        <f t="shared" si="3"/>
        <v>1648701.2769646081</v>
      </c>
      <c r="P10" s="60">
        <f t="shared" si="3"/>
        <v>1701459.7178274756</v>
      </c>
    </row>
    <row r="11" spans="2:20" x14ac:dyDescent="0.25">
      <c r="C11" t="s">
        <v>513</v>
      </c>
      <c r="F11" s="60">
        <f>F10*$S$9</f>
        <v>342982.29086419841</v>
      </c>
      <c r="G11" s="60">
        <f t="shared" ref="G11:P11" si="4">G10*$S$9</f>
        <v>353957.72417185275</v>
      </c>
      <c r="H11" s="60">
        <f t="shared" si="4"/>
        <v>365284.37134535203</v>
      </c>
      <c r="I11" s="60">
        <f t="shared" si="4"/>
        <v>376973.47122840333</v>
      </c>
      <c r="J11" s="60">
        <f t="shared" si="4"/>
        <v>389036.62230771227</v>
      </c>
      <c r="K11" s="60">
        <f t="shared" si="4"/>
        <v>401485.79422155902</v>
      </c>
      <c r="L11" s="60">
        <f t="shared" si="4"/>
        <v>414333.33963664889</v>
      </c>
      <c r="M11" s="60">
        <f t="shared" si="4"/>
        <v>427592.00650502165</v>
      </c>
      <c r="N11" s="60">
        <f t="shared" si="4"/>
        <v>441274.95071318245</v>
      </c>
      <c r="O11" s="60">
        <f t="shared" si="4"/>
        <v>455395.74913600436</v>
      </c>
      <c r="P11" s="60">
        <f t="shared" si="4"/>
        <v>469968.41310835647</v>
      </c>
      <c r="R11" t="s">
        <v>480</v>
      </c>
      <c r="S11" s="3">
        <v>2020</v>
      </c>
      <c r="T11" s="1" t="s">
        <v>484</v>
      </c>
    </row>
    <row r="13" spans="2:20" ht="15.75" thickBot="1" x14ac:dyDescent="0.3">
      <c r="B13" s="51" t="s">
        <v>472</v>
      </c>
      <c r="C13" s="51"/>
      <c r="D13" s="51"/>
      <c r="E13" s="51"/>
      <c r="F13" s="51"/>
      <c r="G13" s="51"/>
      <c r="H13" s="51"/>
      <c r="I13" s="51"/>
      <c r="J13" s="51"/>
      <c r="K13" s="51"/>
      <c r="L13" s="51"/>
      <c r="M13" s="51"/>
      <c r="N13" s="51"/>
      <c r="O13" s="51"/>
      <c r="P13" s="51"/>
      <c r="Q13" s="51"/>
      <c r="R13" s="51"/>
      <c r="S13" s="51"/>
      <c r="T13" s="51"/>
    </row>
    <row r="14" spans="2:20" x14ac:dyDescent="0.25">
      <c r="C14" t="s">
        <v>471</v>
      </c>
      <c r="D14" s="1" t="s">
        <v>486</v>
      </c>
      <c r="F14" s="46">
        <v>0.38100000000000001</v>
      </c>
      <c r="G14" s="62">
        <f t="shared" ref="G14:P14" si="5">IF(G$2&gt;$S$11,#N/A,IF(G$2=$S$11,$S14,$F14+($S14-$F14)*((G$2-$F$2)/($S$11-$F$2))))</f>
        <v>0.40587499999999999</v>
      </c>
      <c r="H14" s="62">
        <f t="shared" si="5"/>
        <v>0.43074999999999997</v>
      </c>
      <c r="I14" s="62">
        <f t="shared" si="5"/>
        <v>0.455625</v>
      </c>
      <c r="J14" s="62">
        <f t="shared" si="5"/>
        <v>0.48049999999999998</v>
      </c>
      <c r="K14" s="62">
        <f t="shared" si="5"/>
        <v>0.50537500000000002</v>
      </c>
      <c r="L14" s="62">
        <f t="shared" si="5"/>
        <v>0.53025</v>
      </c>
      <c r="M14" s="62">
        <f t="shared" si="5"/>
        <v>0.55512499999999998</v>
      </c>
      <c r="N14" s="62">
        <f t="shared" si="5"/>
        <v>0.57999999999999996</v>
      </c>
      <c r="O14" s="62" t="e">
        <f t="shared" si="5"/>
        <v>#N/A</v>
      </c>
      <c r="P14" s="62" t="e">
        <f t="shared" si="5"/>
        <v>#N/A</v>
      </c>
      <c r="R14" s="2" t="s">
        <v>487</v>
      </c>
      <c r="S14" s="46">
        <v>0.57999999999999996</v>
      </c>
      <c r="T14" s="1" t="s">
        <v>484</v>
      </c>
    </row>
    <row r="16" spans="2:20" x14ac:dyDescent="0.25">
      <c r="C16" t="s">
        <v>479</v>
      </c>
      <c r="D16" s="1" t="s">
        <v>486</v>
      </c>
      <c r="F16" s="46">
        <v>0.24016720814575865</v>
      </c>
      <c r="G16" s="62">
        <f t="shared" ref="G16:P24" si="6">IF(G$2&gt;$S$11,#N/A,IF(G$2=$S$11,$S16,$F16+($S16-$F16)*((G$2-$F$2)/($S$11-$F$2))))</f>
        <v>0.23861074423056727</v>
      </c>
      <c r="H16" s="62">
        <f t="shared" si="6"/>
        <v>0.2370542803153759</v>
      </c>
      <c r="I16" s="62">
        <f t="shared" si="6"/>
        <v>0.23549781640018455</v>
      </c>
      <c r="J16" s="62">
        <f t="shared" si="6"/>
        <v>0.23394135248499318</v>
      </c>
      <c r="K16" s="62">
        <f t="shared" si="6"/>
        <v>0.2323848885698018</v>
      </c>
      <c r="L16" s="62">
        <f t="shared" si="6"/>
        <v>0.23082842465461045</v>
      </c>
      <c r="M16" s="62">
        <f t="shared" si="6"/>
        <v>0.22927196073941908</v>
      </c>
      <c r="N16" s="62">
        <f t="shared" si="6"/>
        <v>0.2277154968242277</v>
      </c>
      <c r="O16" s="62" t="e">
        <f t="shared" si="6"/>
        <v>#N/A</v>
      </c>
      <c r="P16" s="62" t="e">
        <f t="shared" si="6"/>
        <v>#N/A</v>
      </c>
      <c r="R16" s="2" t="s">
        <v>488</v>
      </c>
      <c r="S16" s="46">
        <v>0.2277154968242277</v>
      </c>
      <c r="T16" s="1" t="s">
        <v>485</v>
      </c>
    </row>
    <row r="17" spans="2:23" x14ac:dyDescent="0.25">
      <c r="C17" t="s">
        <v>478</v>
      </c>
      <c r="F17" s="46">
        <v>0.32693482785405092</v>
      </c>
      <c r="G17" s="62">
        <f t="shared" si="6"/>
        <v>0.32803164955157027</v>
      </c>
      <c r="H17" s="62">
        <f t="shared" si="6"/>
        <v>0.32912847124908962</v>
      </c>
      <c r="I17" s="62">
        <f t="shared" si="6"/>
        <v>0.33022529294660896</v>
      </c>
      <c r="J17" s="62">
        <f t="shared" si="6"/>
        <v>0.33132211464412831</v>
      </c>
      <c r="K17" s="62">
        <f t="shared" si="6"/>
        <v>0.33241893634164771</v>
      </c>
      <c r="L17" s="62">
        <f t="shared" si="6"/>
        <v>0.33351575803916705</v>
      </c>
      <c r="M17" s="62">
        <f t="shared" si="6"/>
        <v>0.3346125797366864</v>
      </c>
      <c r="N17" s="62">
        <f t="shared" si="6"/>
        <v>0.33570940143420575</v>
      </c>
      <c r="O17" s="62" t="e">
        <f t="shared" si="6"/>
        <v>#N/A</v>
      </c>
      <c r="P17" s="62" t="e">
        <f t="shared" si="6"/>
        <v>#N/A</v>
      </c>
      <c r="S17" s="46">
        <v>0.33570940143420575</v>
      </c>
    </row>
    <row r="18" spans="2:23" x14ac:dyDescent="0.25">
      <c r="C18" t="s">
        <v>504</v>
      </c>
      <c r="F18" s="46">
        <v>0.17750681936339666</v>
      </c>
      <c r="G18" s="62">
        <f t="shared" si="6"/>
        <v>0.16857581452804438</v>
      </c>
      <c r="H18" s="62">
        <f t="shared" si="6"/>
        <v>0.1596448096926921</v>
      </c>
      <c r="I18" s="62">
        <f t="shared" si="6"/>
        <v>0.15071380485733982</v>
      </c>
      <c r="J18" s="62">
        <f t="shared" si="6"/>
        <v>0.14178280002198757</v>
      </c>
      <c r="K18" s="62">
        <f t="shared" si="6"/>
        <v>0.13285179518663529</v>
      </c>
      <c r="L18" s="62">
        <f t="shared" si="6"/>
        <v>0.12392079035128301</v>
      </c>
      <c r="M18" s="62">
        <f t="shared" si="6"/>
        <v>0.11498978551593074</v>
      </c>
      <c r="N18" s="62">
        <f t="shared" si="6"/>
        <v>0.10605878068057846</v>
      </c>
      <c r="O18" s="62" t="e">
        <f t="shared" si="6"/>
        <v>#N/A</v>
      </c>
      <c r="P18" s="62" t="e">
        <f t="shared" si="6"/>
        <v>#N/A</v>
      </c>
      <c r="S18" s="46">
        <v>0.10605878068057846</v>
      </c>
    </row>
    <row r="19" spans="2:23" x14ac:dyDescent="0.25">
      <c r="C19" t="s">
        <v>508</v>
      </c>
      <c r="F19" s="46">
        <v>3.737830831080756E-3</v>
      </c>
      <c r="G19" s="62">
        <f t="shared" si="6"/>
        <v>3.518360817265817E-3</v>
      </c>
      <c r="H19" s="62">
        <f t="shared" si="6"/>
        <v>3.2988908034508779E-3</v>
      </c>
      <c r="I19" s="62">
        <f t="shared" si="6"/>
        <v>3.0794207896359393E-3</v>
      </c>
      <c r="J19" s="62">
        <f t="shared" si="6"/>
        <v>2.8599507758210003E-3</v>
      </c>
      <c r="K19" s="62">
        <f t="shared" si="6"/>
        <v>2.6404807620060613E-3</v>
      </c>
      <c r="L19" s="62">
        <f t="shared" si="6"/>
        <v>2.4210107481911223E-3</v>
      </c>
      <c r="M19" s="62">
        <f t="shared" si="6"/>
        <v>2.2015407343761832E-3</v>
      </c>
      <c r="N19" s="62">
        <f t="shared" si="6"/>
        <v>1.9820707205612442E-3</v>
      </c>
      <c r="O19" s="62" t="e">
        <f t="shared" si="6"/>
        <v>#N/A</v>
      </c>
      <c r="P19" s="62" t="e">
        <f t="shared" si="6"/>
        <v>#N/A</v>
      </c>
      <c r="S19" s="46">
        <v>1.9820707205612442E-3</v>
      </c>
    </row>
    <row r="20" spans="2:23" x14ac:dyDescent="0.25">
      <c r="C20" t="s">
        <v>474</v>
      </c>
      <c r="F20" s="46">
        <v>7.526348280261233E-2</v>
      </c>
      <c r="G20" s="62">
        <f t="shared" si="6"/>
        <v>8.843140955735021E-2</v>
      </c>
      <c r="H20" s="62">
        <f t="shared" si="6"/>
        <v>0.10159933631208808</v>
      </c>
      <c r="I20" s="62">
        <f t="shared" si="6"/>
        <v>0.11476726306682594</v>
      </c>
      <c r="J20" s="62">
        <f t="shared" si="6"/>
        <v>0.12793518982156382</v>
      </c>
      <c r="K20" s="62">
        <f t="shared" si="6"/>
        <v>0.1411031165763017</v>
      </c>
      <c r="L20" s="62">
        <f t="shared" si="6"/>
        <v>0.15427104333103958</v>
      </c>
      <c r="M20" s="62">
        <f t="shared" si="6"/>
        <v>0.16743897008577743</v>
      </c>
      <c r="N20" s="62">
        <f t="shared" si="6"/>
        <v>0.18060689684051531</v>
      </c>
      <c r="O20" s="62" t="e">
        <f t="shared" si="6"/>
        <v>#N/A</v>
      </c>
      <c r="P20" s="62" t="e">
        <f t="shared" si="6"/>
        <v>#N/A</v>
      </c>
      <c r="S20" s="46">
        <v>0.18060689684051531</v>
      </c>
    </row>
    <row r="21" spans="2:23" x14ac:dyDescent="0.25">
      <c r="C21" t="s">
        <v>476</v>
      </c>
      <c r="F21" s="46">
        <v>2.5087827600870721E-2</v>
      </c>
      <c r="G21" s="62">
        <f t="shared" si="6"/>
        <v>2.7736820786745713E-2</v>
      </c>
      <c r="H21" s="62">
        <f t="shared" si="6"/>
        <v>3.0385813972620704E-2</v>
      </c>
      <c r="I21" s="62">
        <f t="shared" si="6"/>
        <v>3.3034807158495702E-2</v>
      </c>
      <c r="J21" s="62">
        <f t="shared" si="6"/>
        <v>3.5683800344370686E-2</v>
      </c>
      <c r="K21" s="62">
        <f t="shared" si="6"/>
        <v>3.8332793530245685E-2</v>
      </c>
      <c r="L21" s="62">
        <f t="shared" si="6"/>
        <v>4.0981786716120676E-2</v>
      </c>
      <c r="M21" s="62">
        <f t="shared" si="6"/>
        <v>4.3630779901995667E-2</v>
      </c>
      <c r="N21" s="62">
        <f t="shared" si="6"/>
        <v>4.6279773087870658E-2</v>
      </c>
      <c r="O21" s="62" t="e">
        <f t="shared" si="6"/>
        <v>#N/A</v>
      </c>
      <c r="P21" s="62" t="e">
        <f t="shared" si="6"/>
        <v>#N/A</v>
      </c>
      <c r="S21" s="46">
        <v>4.6279773087870658E-2</v>
      </c>
    </row>
    <row r="22" spans="2:23" x14ac:dyDescent="0.25">
      <c r="C22" t="s">
        <v>473</v>
      </c>
      <c r="F22" s="46">
        <v>4.8012722337932523E-2</v>
      </c>
      <c r="G22" s="62">
        <f t="shared" si="6"/>
        <v>4.9273302485022673E-2</v>
      </c>
      <c r="H22" s="62">
        <f t="shared" si="6"/>
        <v>5.0533882632112823E-2</v>
      </c>
      <c r="I22" s="62">
        <f t="shared" si="6"/>
        <v>5.1794462779202972E-2</v>
      </c>
      <c r="J22" s="62">
        <f t="shared" si="6"/>
        <v>5.3055042926293122E-2</v>
      </c>
      <c r="K22" s="62">
        <f t="shared" si="6"/>
        <v>5.4315623073383265E-2</v>
      </c>
      <c r="L22" s="62">
        <f t="shared" si="6"/>
        <v>5.5576203220473415E-2</v>
      </c>
      <c r="M22" s="62">
        <f t="shared" si="6"/>
        <v>5.6836783367563565E-2</v>
      </c>
      <c r="N22" s="62">
        <f t="shared" si="6"/>
        <v>5.8097363514653715E-2</v>
      </c>
      <c r="O22" s="62" t="e">
        <f t="shared" si="6"/>
        <v>#N/A</v>
      </c>
      <c r="P22" s="62" t="e">
        <f t="shared" si="6"/>
        <v>#N/A</v>
      </c>
      <c r="S22" s="46">
        <v>5.8097363514653715E-2</v>
      </c>
    </row>
    <row r="23" spans="2:23" x14ac:dyDescent="0.25">
      <c r="C23" t="s">
        <v>477</v>
      </c>
      <c r="F23" s="46">
        <v>0</v>
      </c>
      <c r="G23" s="62">
        <f t="shared" si="6"/>
        <v>3.8488824496931556E-4</v>
      </c>
      <c r="H23" s="62">
        <f t="shared" si="6"/>
        <v>7.6977648993863113E-4</v>
      </c>
      <c r="I23" s="62">
        <f t="shared" si="6"/>
        <v>1.1546647349079467E-3</v>
      </c>
      <c r="J23" s="62">
        <f t="shared" si="6"/>
        <v>1.5395529798772623E-3</v>
      </c>
      <c r="K23" s="62">
        <f t="shared" si="6"/>
        <v>1.9244412248465778E-3</v>
      </c>
      <c r="L23" s="62">
        <f t="shared" si="6"/>
        <v>2.3093294698158934E-3</v>
      </c>
      <c r="M23" s="62">
        <f t="shared" si="6"/>
        <v>2.6942177147852089E-3</v>
      </c>
      <c r="N23" s="62">
        <f t="shared" si="6"/>
        <v>3.0791059597545245E-3</v>
      </c>
      <c r="O23" s="62" t="e">
        <f t="shared" si="6"/>
        <v>#N/A</v>
      </c>
      <c r="P23" s="62" t="e">
        <f t="shared" si="6"/>
        <v>#N/A</v>
      </c>
      <c r="S23" s="46">
        <v>3.0791059597545245E-3</v>
      </c>
    </row>
    <row r="24" spans="2:23" ht="15.75" thickBot="1" x14ac:dyDescent="0.3">
      <c r="C24" t="s">
        <v>475</v>
      </c>
      <c r="F24" s="46">
        <v>0.10309577400207855</v>
      </c>
      <c r="G24" s="62">
        <f t="shared" si="6"/>
        <v>9.522618582936962E-2</v>
      </c>
      <c r="H24" s="62">
        <f t="shared" si="6"/>
        <v>8.7356597656660692E-2</v>
      </c>
      <c r="I24" s="62">
        <f t="shared" si="6"/>
        <v>7.9487009483951765E-2</v>
      </c>
      <c r="J24" s="62">
        <f t="shared" si="6"/>
        <v>7.1617421311242838E-2</v>
      </c>
      <c r="K24" s="62">
        <f t="shared" si="6"/>
        <v>6.374783313853391E-2</v>
      </c>
      <c r="L24" s="62">
        <f t="shared" si="6"/>
        <v>5.5878244965824983E-2</v>
      </c>
      <c r="M24" s="62">
        <f t="shared" si="6"/>
        <v>4.8008656793116056E-2</v>
      </c>
      <c r="N24" s="62">
        <f t="shared" si="6"/>
        <v>4.0139068620407135E-2</v>
      </c>
      <c r="O24" s="62" t="e">
        <f t="shared" si="6"/>
        <v>#N/A</v>
      </c>
      <c r="P24" s="62" t="e">
        <f t="shared" si="6"/>
        <v>#N/A</v>
      </c>
      <c r="S24" s="46">
        <v>4.0139068620407135E-2</v>
      </c>
    </row>
    <row r="25" spans="2:23" ht="16.5" thickTop="1" thickBot="1" x14ac:dyDescent="0.3">
      <c r="F25" s="63">
        <f>SUM(F16:F24)</f>
        <v>0.99980649293778101</v>
      </c>
      <c r="S25" s="70">
        <f>SUM(S16:S24)</f>
        <v>0.99966795768277461</v>
      </c>
    </row>
    <row r="26" spans="2:23" ht="15.75" thickTop="1" x14ac:dyDescent="0.25"/>
    <row r="27" spans="2:23" ht="15.75" thickBot="1" x14ac:dyDescent="0.3">
      <c r="B27" s="51" t="s">
        <v>515</v>
      </c>
      <c r="C27" s="51"/>
      <c r="D27" s="51"/>
      <c r="E27" s="51"/>
      <c r="F27" s="51"/>
      <c r="G27" s="51"/>
      <c r="H27" s="51"/>
      <c r="I27" s="51"/>
      <c r="J27" s="51"/>
      <c r="K27" s="51"/>
      <c r="L27" s="51"/>
      <c r="M27" s="51"/>
      <c r="N27" s="51"/>
      <c r="O27" s="51"/>
      <c r="P27" s="51"/>
      <c r="Q27" s="51"/>
      <c r="R27" s="51"/>
      <c r="S27" s="51"/>
      <c r="T27" s="51"/>
    </row>
    <row r="28" spans="2:23" x14ac:dyDescent="0.25">
      <c r="C28" t="s">
        <v>471</v>
      </c>
      <c r="D28" s="1" t="s">
        <v>486</v>
      </c>
      <c r="F28" s="46">
        <f>43.3%+(0.381-0.327)</f>
        <v>0.48699999999999999</v>
      </c>
      <c r="G28" s="62">
        <f t="shared" ref="G28:P28" si="7">IF(G$2&gt;$S$11,#N/A,IF(G$2=$S$11,$S28,$F28+($S28-$F28)*((G$2-$F$2)/($S$11-$F$2))))</f>
        <v>0.51112500000000005</v>
      </c>
      <c r="H28" s="62">
        <f t="shared" si="7"/>
        <v>0.53525</v>
      </c>
      <c r="I28" s="62">
        <f t="shared" si="7"/>
        <v>0.55937499999999996</v>
      </c>
      <c r="J28" s="62">
        <f t="shared" si="7"/>
        <v>0.58350000000000002</v>
      </c>
      <c r="K28" s="62">
        <f t="shared" si="7"/>
        <v>0.60762500000000008</v>
      </c>
      <c r="L28" s="62">
        <f t="shared" si="7"/>
        <v>0.63175000000000003</v>
      </c>
      <c r="M28" s="62">
        <f t="shared" si="7"/>
        <v>0.65587499999999999</v>
      </c>
      <c r="N28" s="62">
        <f t="shared" si="7"/>
        <v>0.68</v>
      </c>
      <c r="O28" s="62" t="e">
        <f t="shared" si="7"/>
        <v>#N/A</v>
      </c>
      <c r="P28" s="62" t="e">
        <f t="shared" si="7"/>
        <v>#N/A</v>
      </c>
      <c r="R28" s="2" t="s">
        <v>489</v>
      </c>
      <c r="S28" s="46">
        <v>0.68</v>
      </c>
      <c r="T28" s="1" t="s">
        <v>485</v>
      </c>
      <c r="U28" s="9" t="s">
        <v>686</v>
      </c>
      <c r="V28" s="9"/>
      <c r="W28" s="9"/>
    </row>
    <row r="29" spans="2:23" x14ac:dyDescent="0.25">
      <c r="R29" s="2"/>
    </row>
    <row r="30" spans="2:23" x14ac:dyDescent="0.25">
      <c r="C30" t="s">
        <v>479</v>
      </c>
      <c r="D30" s="1" t="s">
        <v>486</v>
      </c>
      <c r="F30" s="46">
        <v>0.11602310576504338</v>
      </c>
      <c r="G30" s="62">
        <f t="shared" ref="G30:P38" si="8">IF(G$2&gt;$S$11,#N/A,IF(G$2=$S$11,$S30,$F30+($S30-$F30)*((G$2-$F$2)/($S$11-$F$2))))</f>
        <v>0.11651010117539193</v>
      </c>
      <c r="H30" s="62">
        <f t="shared" si="8"/>
        <v>0.11699709658574048</v>
      </c>
      <c r="I30" s="62">
        <f t="shared" si="8"/>
        <v>0.11748409199608904</v>
      </c>
      <c r="J30" s="62">
        <f t="shared" si="8"/>
        <v>0.11797108740643759</v>
      </c>
      <c r="K30" s="62">
        <f t="shared" si="8"/>
        <v>0.11845808281678614</v>
      </c>
      <c r="L30" s="62">
        <f t="shared" si="8"/>
        <v>0.11894507822713471</v>
      </c>
      <c r="M30" s="62">
        <f t="shared" si="8"/>
        <v>0.11943207363748326</v>
      </c>
      <c r="N30" s="62">
        <f t="shared" si="8"/>
        <v>0.11991906904783181</v>
      </c>
      <c r="O30" s="62" t="e">
        <f t="shared" si="8"/>
        <v>#N/A</v>
      </c>
      <c r="P30" s="62" t="e">
        <f t="shared" si="8"/>
        <v>#N/A</v>
      </c>
      <c r="R30" s="2" t="s">
        <v>490</v>
      </c>
      <c r="S30" s="46">
        <v>0.11991906904783181</v>
      </c>
      <c r="T30" s="1" t="s">
        <v>485</v>
      </c>
    </row>
    <row r="31" spans="2:23" x14ac:dyDescent="0.25">
      <c r="C31" t="s">
        <v>478</v>
      </c>
      <c r="F31" s="46">
        <v>0.19404385607186267</v>
      </c>
      <c r="G31" s="62">
        <f t="shared" si="8"/>
        <v>0.20735637616883579</v>
      </c>
      <c r="H31" s="62">
        <f t="shared" si="8"/>
        <v>0.22066889626580893</v>
      </c>
      <c r="I31" s="62">
        <f t="shared" si="8"/>
        <v>0.23398141636278205</v>
      </c>
      <c r="J31" s="62">
        <f t="shared" si="8"/>
        <v>0.24729393645975517</v>
      </c>
      <c r="K31" s="62">
        <f t="shared" si="8"/>
        <v>0.26060645655672832</v>
      </c>
      <c r="L31" s="62">
        <f t="shared" si="8"/>
        <v>0.27391897665370146</v>
      </c>
      <c r="M31" s="62">
        <f t="shared" si="8"/>
        <v>0.28723149675067455</v>
      </c>
      <c r="N31" s="62">
        <f t="shared" si="8"/>
        <v>0.3005440168476477</v>
      </c>
      <c r="O31" s="62" t="e">
        <f t="shared" si="8"/>
        <v>#N/A</v>
      </c>
      <c r="P31" s="62" t="e">
        <f t="shared" si="8"/>
        <v>#N/A</v>
      </c>
      <c r="S31" s="46">
        <v>0.3005440168476477</v>
      </c>
    </row>
    <row r="32" spans="2:23" x14ac:dyDescent="0.25">
      <c r="C32" t="s">
        <v>504</v>
      </c>
      <c r="F32" s="46">
        <v>0.65798094897180082</v>
      </c>
      <c r="G32" s="62">
        <f t="shared" si="8"/>
        <v>0.62227704542804996</v>
      </c>
      <c r="H32" s="62">
        <f t="shared" si="8"/>
        <v>0.58657314188429921</v>
      </c>
      <c r="I32" s="62">
        <f t="shared" si="8"/>
        <v>0.55086923834054835</v>
      </c>
      <c r="J32" s="62">
        <f t="shared" si="8"/>
        <v>0.51516533479679749</v>
      </c>
      <c r="K32" s="62">
        <f t="shared" si="8"/>
        <v>0.47946143125304669</v>
      </c>
      <c r="L32" s="62">
        <f t="shared" si="8"/>
        <v>0.44375752770929588</v>
      </c>
      <c r="M32" s="62">
        <f t="shared" si="8"/>
        <v>0.40805362416554503</v>
      </c>
      <c r="N32" s="62">
        <f t="shared" si="8"/>
        <v>0.37234972062179422</v>
      </c>
      <c r="O32" s="62" t="e">
        <f t="shared" si="8"/>
        <v>#N/A</v>
      </c>
      <c r="P32" s="62" t="e">
        <f t="shared" si="8"/>
        <v>#N/A</v>
      </c>
      <c r="S32" s="46">
        <v>0.37234972062179422</v>
      </c>
    </row>
    <row r="33" spans="2:20" x14ac:dyDescent="0.25">
      <c r="C33" t="s">
        <v>508</v>
      </c>
      <c r="F33" s="46">
        <v>5.0285874664605899E-3</v>
      </c>
      <c r="G33" s="62">
        <f t="shared" si="8"/>
        <v>4.6609625400745053E-3</v>
      </c>
      <c r="H33" s="62">
        <f t="shared" si="8"/>
        <v>4.2933376136884216E-3</v>
      </c>
      <c r="I33" s="62">
        <f t="shared" si="8"/>
        <v>3.925712687302337E-3</v>
      </c>
      <c r="J33" s="62">
        <f t="shared" si="8"/>
        <v>3.5580877609162529E-3</v>
      </c>
      <c r="K33" s="62">
        <f t="shared" si="8"/>
        <v>3.1904628345301687E-3</v>
      </c>
      <c r="L33" s="62">
        <f t="shared" si="8"/>
        <v>2.8228379081440842E-3</v>
      </c>
      <c r="M33" s="62">
        <f t="shared" si="8"/>
        <v>2.455212981758E-3</v>
      </c>
      <c r="N33" s="62">
        <f t="shared" si="8"/>
        <v>2.0875880553719159E-3</v>
      </c>
      <c r="O33" s="62" t="e">
        <f t="shared" si="8"/>
        <v>#N/A</v>
      </c>
      <c r="P33" s="62" t="e">
        <f t="shared" si="8"/>
        <v>#N/A</v>
      </c>
      <c r="S33" s="46">
        <v>2.0875880553719159E-3</v>
      </c>
    </row>
    <row r="34" spans="2:20" x14ac:dyDescent="0.25">
      <c r="C34" t="s">
        <v>474</v>
      </c>
      <c r="F34" s="46">
        <v>0</v>
      </c>
      <c r="G34" s="62">
        <f t="shared" si="8"/>
        <v>2.2079300867292716E-2</v>
      </c>
      <c r="H34" s="62">
        <f t="shared" si="8"/>
        <v>4.4158601734585433E-2</v>
      </c>
      <c r="I34" s="62">
        <f t="shared" si="8"/>
        <v>6.6237902601878146E-2</v>
      </c>
      <c r="J34" s="62">
        <f t="shared" si="8"/>
        <v>8.8317203469170866E-2</v>
      </c>
      <c r="K34" s="62">
        <f t="shared" si="8"/>
        <v>0.11039650433646359</v>
      </c>
      <c r="L34" s="62">
        <f t="shared" si="8"/>
        <v>0.13247580520375629</v>
      </c>
      <c r="M34" s="62">
        <f t="shared" si="8"/>
        <v>0.15455510607104903</v>
      </c>
      <c r="N34" s="62">
        <f t="shared" si="8"/>
        <v>0.17663440693834173</v>
      </c>
      <c r="O34" s="62" t="e">
        <f t="shared" si="8"/>
        <v>#N/A</v>
      </c>
      <c r="P34" s="62" t="e">
        <f t="shared" si="8"/>
        <v>#N/A</v>
      </c>
      <c r="S34" s="46">
        <v>0.17663440693834173</v>
      </c>
    </row>
    <row r="35" spans="2:20" x14ac:dyDescent="0.25">
      <c r="C35" t="s">
        <v>476</v>
      </c>
      <c r="F35" s="46">
        <v>0</v>
      </c>
      <c r="G35" s="62">
        <f t="shared" si="8"/>
        <v>1.0154899757668209E-3</v>
      </c>
      <c r="H35" s="62">
        <f t="shared" si="8"/>
        <v>2.0309799515336418E-3</v>
      </c>
      <c r="I35" s="62">
        <f t="shared" si="8"/>
        <v>3.0464699273004625E-3</v>
      </c>
      <c r="J35" s="62">
        <f t="shared" si="8"/>
        <v>4.0619599030672837E-3</v>
      </c>
      <c r="K35" s="62">
        <f t="shared" si="8"/>
        <v>5.0774498788341048E-3</v>
      </c>
      <c r="L35" s="62">
        <f t="shared" si="8"/>
        <v>6.0929398546009251E-3</v>
      </c>
      <c r="M35" s="62">
        <f t="shared" si="8"/>
        <v>7.1084298303677462E-3</v>
      </c>
      <c r="N35" s="62">
        <f t="shared" si="8"/>
        <v>8.1239198061345674E-3</v>
      </c>
      <c r="O35" s="62" t="e">
        <f t="shared" si="8"/>
        <v>#N/A</v>
      </c>
      <c r="P35" s="62" t="e">
        <f t="shared" si="8"/>
        <v>#N/A</v>
      </c>
      <c r="S35" s="46">
        <v>8.1239198061345674E-3</v>
      </c>
    </row>
    <row r="36" spans="2:20" x14ac:dyDescent="0.25">
      <c r="C36" t="s">
        <v>473</v>
      </c>
      <c r="F36" s="46">
        <v>8.4990249795061749E-3</v>
      </c>
      <c r="G36" s="62">
        <f t="shared" si="8"/>
        <v>8.5491964829226309E-3</v>
      </c>
      <c r="H36" s="62">
        <f t="shared" si="8"/>
        <v>8.5993679863390869E-3</v>
      </c>
      <c r="I36" s="62">
        <f t="shared" si="8"/>
        <v>8.6495394897555412E-3</v>
      </c>
      <c r="J36" s="62">
        <f t="shared" si="8"/>
        <v>8.6997109931719972E-3</v>
      </c>
      <c r="K36" s="62">
        <f t="shared" si="8"/>
        <v>8.7498824965884531E-3</v>
      </c>
      <c r="L36" s="62">
        <f t="shared" si="8"/>
        <v>8.8000540000049074E-3</v>
      </c>
      <c r="M36" s="62">
        <f t="shared" si="8"/>
        <v>8.8502255034213634E-3</v>
      </c>
      <c r="N36" s="62">
        <f t="shared" si="8"/>
        <v>8.9003970068378194E-3</v>
      </c>
      <c r="O36" s="62" t="e">
        <f t="shared" si="8"/>
        <v>#N/A</v>
      </c>
      <c r="P36" s="62" t="e">
        <f t="shared" si="8"/>
        <v>#N/A</v>
      </c>
      <c r="S36" s="46">
        <v>8.9003970068378194E-3</v>
      </c>
    </row>
    <row r="37" spans="2:20" x14ac:dyDescent="0.25">
      <c r="C37" t="s">
        <v>477</v>
      </c>
      <c r="F37" s="46">
        <v>4.9290035079003923E-3</v>
      </c>
      <c r="G37" s="62">
        <f t="shared" si="8"/>
        <v>4.6371805655915817E-3</v>
      </c>
      <c r="H37" s="62">
        <f t="shared" si="8"/>
        <v>4.3453576232827711E-3</v>
      </c>
      <c r="I37" s="62">
        <f t="shared" si="8"/>
        <v>4.0535346809739605E-3</v>
      </c>
      <c r="J37" s="62">
        <f t="shared" si="8"/>
        <v>3.7617117386651499E-3</v>
      </c>
      <c r="K37" s="62">
        <f t="shared" si="8"/>
        <v>3.4698887963563393E-3</v>
      </c>
      <c r="L37" s="62">
        <f t="shared" si="8"/>
        <v>3.1780658540475292E-3</v>
      </c>
      <c r="M37" s="62">
        <f t="shared" si="8"/>
        <v>2.8862429117387186E-3</v>
      </c>
      <c r="N37" s="62">
        <f t="shared" si="8"/>
        <v>2.594419969429908E-3</v>
      </c>
      <c r="O37" s="62" t="e">
        <f t="shared" si="8"/>
        <v>#N/A</v>
      </c>
      <c r="P37" s="62" t="e">
        <f t="shared" si="8"/>
        <v>#N/A</v>
      </c>
      <c r="S37" s="46">
        <v>2.594419969429908E-3</v>
      </c>
    </row>
    <row r="38" spans="2:20" ht="15.75" thickBot="1" x14ac:dyDescent="0.3">
      <c r="C38" t="s">
        <v>475</v>
      </c>
      <c r="F38" s="46">
        <v>1.3860926609035467E-2</v>
      </c>
      <c r="G38" s="62">
        <f t="shared" si="8"/>
        <v>1.3242118369345076E-2</v>
      </c>
      <c r="H38" s="62">
        <f t="shared" si="8"/>
        <v>1.2623310129654687E-2</v>
      </c>
      <c r="I38" s="62">
        <f t="shared" si="8"/>
        <v>1.2004501889964297E-2</v>
      </c>
      <c r="J38" s="62">
        <f t="shared" si="8"/>
        <v>1.1385693650273906E-2</v>
      </c>
      <c r="K38" s="62">
        <f t="shared" si="8"/>
        <v>1.0766885410583515E-2</v>
      </c>
      <c r="L38" s="62">
        <f t="shared" si="8"/>
        <v>1.0148077170893126E-2</v>
      </c>
      <c r="M38" s="62">
        <f t="shared" si="8"/>
        <v>9.5292689312027369E-3</v>
      </c>
      <c r="N38" s="62">
        <f t="shared" si="8"/>
        <v>8.9104606915123459E-3</v>
      </c>
      <c r="O38" s="62" t="e">
        <f t="shared" si="8"/>
        <v>#N/A</v>
      </c>
      <c r="P38" s="62" t="e">
        <f t="shared" si="8"/>
        <v>#N/A</v>
      </c>
      <c r="S38" s="46">
        <v>8.9104606915123459E-3</v>
      </c>
    </row>
    <row r="39" spans="2:20" ht="16.5" thickTop="1" thickBot="1" x14ac:dyDescent="0.3">
      <c r="F39" s="63">
        <f>SUM(F30:F38)</f>
        <v>1.0003654533716095</v>
      </c>
      <c r="S39" s="70">
        <f>SUM(S30:S38)</f>
        <v>1.0000639989849021</v>
      </c>
    </row>
    <row r="40" spans="2:20" ht="15.75" thickTop="1" x14ac:dyDescent="0.25"/>
    <row r="41" spans="2:20" ht="20.25" thickBot="1" x14ac:dyDescent="0.35">
      <c r="B41" s="50" t="s">
        <v>495</v>
      </c>
      <c r="C41" s="50"/>
      <c r="D41" s="50"/>
      <c r="E41" s="50"/>
      <c r="F41" s="50"/>
      <c r="G41" s="50"/>
      <c r="H41" s="50"/>
      <c r="I41" s="50"/>
      <c r="J41" s="50"/>
      <c r="K41" s="50"/>
      <c r="L41" s="50"/>
      <c r="M41" s="50"/>
      <c r="N41" s="50"/>
      <c r="O41" s="50"/>
      <c r="P41" s="50"/>
      <c r="Q41" s="50"/>
      <c r="R41" s="50"/>
      <c r="S41" s="50"/>
      <c r="T41" s="50"/>
    </row>
    <row r="42" spans="2:20" ht="16.5" thickTop="1" thickBot="1" x14ac:dyDescent="0.3">
      <c r="B42" s="51" t="s">
        <v>491</v>
      </c>
      <c r="C42" s="51"/>
      <c r="D42" s="51"/>
      <c r="E42" s="51"/>
      <c r="F42" s="51"/>
      <c r="G42" s="51"/>
      <c r="H42" s="51"/>
      <c r="I42" s="51"/>
      <c r="J42" s="51"/>
      <c r="K42" s="51"/>
      <c r="L42" s="51"/>
      <c r="M42" s="51"/>
      <c r="N42" s="51"/>
      <c r="O42" s="51"/>
      <c r="P42" s="51"/>
    </row>
    <row r="43" spans="2:20" x14ac:dyDescent="0.25">
      <c r="C43" t="s">
        <v>479</v>
      </c>
      <c r="D43" s="1"/>
      <c r="F43" s="64">
        <f t="shared" ref="F43:P43" si="9">F$9*F$14*F16</f>
        <v>176971.73929282866</v>
      </c>
      <c r="G43" s="64">
        <f t="shared" si="9"/>
        <v>193297.94108435514</v>
      </c>
      <c r="H43" s="64">
        <f t="shared" si="9"/>
        <v>210328.30216816618</v>
      </c>
      <c r="I43" s="64">
        <f t="shared" si="9"/>
        <v>228086.06675437052</v>
      </c>
      <c r="J43" s="64">
        <f t="shared" si="9"/>
        <v>246595.08229688203</v>
      </c>
      <c r="K43" s="64">
        <f t="shared" si="9"/>
        <v>265879.80907250283</v>
      </c>
      <c r="L43" s="64">
        <f t="shared" si="9"/>
        <v>285965.32958810002</v>
      </c>
      <c r="M43" s="64">
        <f t="shared" si="9"/>
        <v>306877.35778971348</v>
      </c>
      <c r="N43" s="64">
        <f t="shared" si="9"/>
        <v>328642.24804576044</v>
      </c>
      <c r="O43" s="64" t="e">
        <f t="shared" si="9"/>
        <v>#N/A</v>
      </c>
      <c r="P43" s="64" t="e">
        <f t="shared" si="9"/>
        <v>#N/A</v>
      </c>
    </row>
    <row r="44" spans="2:20" x14ac:dyDescent="0.25">
      <c r="C44" t="s">
        <v>478</v>
      </c>
      <c r="F44" s="64">
        <f t="shared" ref="F44:P44" si="10">F$9*F$14*F17</f>
        <v>240908.09718543454</v>
      </c>
      <c r="G44" s="64">
        <f t="shared" si="10"/>
        <v>265737.58308030287</v>
      </c>
      <c r="H44" s="64">
        <f t="shared" si="10"/>
        <v>292021.86292915046</v>
      </c>
      <c r="I44" s="64">
        <f t="shared" si="10"/>
        <v>319832.21484741883</v>
      </c>
      <c r="J44" s="64">
        <f t="shared" si="10"/>
        <v>349243.10413519916</v>
      </c>
      <c r="K44" s="64">
        <f t="shared" si="10"/>
        <v>380332.31795127626</v>
      </c>
      <c r="L44" s="64">
        <f t="shared" si="10"/>
        <v>413181.10546049027</v>
      </c>
      <c r="M44" s="64">
        <f t="shared" si="10"/>
        <v>447874.32367057592</v>
      </c>
      <c r="N44" s="64">
        <f t="shared" si="10"/>
        <v>484500.58918298298</v>
      </c>
      <c r="O44" s="64" t="e">
        <f t="shared" si="10"/>
        <v>#N/A</v>
      </c>
      <c r="P44" s="64" t="e">
        <f t="shared" si="10"/>
        <v>#N/A</v>
      </c>
    </row>
    <row r="45" spans="2:20" x14ac:dyDescent="0.25">
      <c r="C45" t="s">
        <v>504</v>
      </c>
      <c r="F45" s="64">
        <f t="shared" ref="F45:P45" si="11">F$9*F$14*F18</f>
        <v>130799.24941298872</v>
      </c>
      <c r="G45" s="64">
        <f t="shared" si="11"/>
        <v>136562.82733606573</v>
      </c>
      <c r="H45" s="64">
        <f t="shared" si="11"/>
        <v>141646.13154401662</v>
      </c>
      <c r="I45" s="64">
        <f t="shared" si="11"/>
        <v>145970.43607861429</v>
      </c>
      <c r="J45" s="64">
        <f t="shared" si="11"/>
        <v>149451.73595141622</v>
      </c>
      <c r="K45" s="64">
        <f t="shared" si="11"/>
        <v>152000.45991179816</v>
      </c>
      <c r="L45" s="64">
        <f t="shared" si="11"/>
        <v>153521.16927820782</v>
      </c>
      <c r="M45" s="64">
        <f t="shared" si="11"/>
        <v>153912.24220410138</v>
      </c>
      <c r="N45" s="64">
        <f t="shared" si="11"/>
        <v>153065.54272308596</v>
      </c>
      <c r="O45" s="64" t="e">
        <f t="shared" si="11"/>
        <v>#N/A</v>
      </c>
      <c r="P45" s="64" t="e">
        <f t="shared" si="11"/>
        <v>#N/A</v>
      </c>
    </row>
    <row r="46" spans="2:20" x14ac:dyDescent="0.25">
      <c r="C46" t="s">
        <v>508</v>
      </c>
      <c r="F46" s="64">
        <f t="shared" ref="F46:P46" si="12">F$9*F$14*F19</f>
        <v>2754.2911809894499</v>
      </c>
      <c r="G46" s="64">
        <f t="shared" si="12"/>
        <v>2850.2149145144331</v>
      </c>
      <c r="H46" s="64">
        <f t="shared" si="12"/>
        <v>2926.9671942008631</v>
      </c>
      <c r="I46" s="64">
        <f t="shared" si="12"/>
        <v>2982.5031353842687</v>
      </c>
      <c r="J46" s="64">
        <f t="shared" si="12"/>
        <v>3014.6435824074811</v>
      </c>
      <c r="K46" s="64">
        <f t="shared" si="12"/>
        <v>3021.0678722808275</v>
      </c>
      <c r="L46" s="64">
        <f t="shared" si="12"/>
        <v>2999.3062491274027</v>
      </c>
      <c r="M46" s="64">
        <f t="shared" si="12"/>
        <v>2946.7319137190557</v>
      </c>
      <c r="N46" s="64">
        <f t="shared" si="12"/>
        <v>2860.5526917376797</v>
      </c>
      <c r="O46" s="64" t="e">
        <f t="shared" si="12"/>
        <v>#N/A</v>
      </c>
      <c r="P46" s="64" t="e">
        <f t="shared" si="12"/>
        <v>#N/A</v>
      </c>
    </row>
    <row r="47" spans="2:20" x14ac:dyDescent="0.25">
      <c r="C47" t="s">
        <v>474</v>
      </c>
      <c r="F47" s="64">
        <f t="shared" ref="F47:P47" si="13">F$9*F$14*F20</f>
        <v>55459.317529854146</v>
      </c>
      <c r="G47" s="64">
        <f t="shared" si="13"/>
        <v>71638.054060573952</v>
      </c>
      <c r="H47" s="64">
        <f t="shared" si="13"/>
        <v>90144.822019262821</v>
      </c>
      <c r="I47" s="64">
        <f t="shared" si="13"/>
        <v>111155.22863530021</v>
      </c>
      <c r="J47" s="64">
        <f t="shared" si="13"/>
        <v>134855.117864378</v>
      </c>
      <c r="K47" s="64">
        <f t="shared" si="13"/>
        <v>161441.08993375153</v>
      </c>
      <c r="L47" s="64">
        <f t="shared" si="13"/>
        <v>191121.04507090928</v>
      </c>
      <c r="M47" s="64">
        <f t="shared" si="13"/>
        <v>224114.75247666368</v>
      </c>
      <c r="N47" s="64">
        <f t="shared" si="13"/>
        <v>260654.44564825352</v>
      </c>
      <c r="O47" s="64" t="e">
        <f t="shared" si="13"/>
        <v>#N/A</v>
      </c>
      <c r="P47" s="64" t="e">
        <f t="shared" si="13"/>
        <v>#N/A</v>
      </c>
    </row>
    <row r="48" spans="2:20" x14ac:dyDescent="0.25">
      <c r="C48" t="s">
        <v>476</v>
      </c>
      <c r="F48" s="64">
        <f t="shared" ref="F48:P48" si="14">F$9*F$14*F21</f>
        <v>18486.439176618009</v>
      </c>
      <c r="G48" s="64">
        <f t="shared" si="14"/>
        <v>22469.526121266998</v>
      </c>
      <c r="H48" s="64">
        <f t="shared" si="14"/>
        <v>26960.055959995749</v>
      </c>
      <c r="I48" s="64">
        <f t="shared" si="14"/>
        <v>31995.112931180891</v>
      </c>
      <c r="J48" s="64">
        <f t="shared" si="14"/>
        <v>37613.913013305595</v>
      </c>
      <c r="K48" s="64">
        <f t="shared" si="14"/>
        <v>43857.911277118314</v>
      </c>
      <c r="L48" s="64">
        <f t="shared" si="14"/>
        <v>50770.914210069284</v>
      </c>
      <c r="M48" s="64">
        <f t="shared" si="14"/>
        <v>58399.197230430989</v>
      </c>
      <c r="N48" s="64">
        <f t="shared" si="14"/>
        <v>66791.627617621547</v>
      </c>
      <c r="O48" s="64" t="e">
        <f t="shared" si="14"/>
        <v>#N/A</v>
      </c>
      <c r="P48" s="64" t="e">
        <f t="shared" si="14"/>
        <v>#N/A</v>
      </c>
    </row>
    <row r="49" spans="2:16" x14ac:dyDescent="0.25">
      <c r="C49" t="s">
        <v>473</v>
      </c>
      <c r="F49" s="64">
        <f t="shared" ref="F49:P49" si="15">F$9*F$14*F22</f>
        <v>35379.0804578565</v>
      </c>
      <c r="G49" s="64">
        <f t="shared" si="15"/>
        <v>39916.173730962255</v>
      </c>
      <c r="H49" s="64">
        <f t="shared" si="15"/>
        <v>44836.590682257629</v>
      </c>
      <c r="I49" s="64">
        <f t="shared" si="15"/>
        <v>50164.351736022254</v>
      </c>
      <c r="J49" s="64">
        <f t="shared" si="15"/>
        <v>55924.754378399659</v>
      </c>
      <c r="K49" s="64">
        <f>K$9*K$14*K22</f>
        <v>62144.434525342971</v>
      </c>
      <c r="L49" s="64">
        <f t="shared" si="15"/>
        <v>68851.430645850793</v>
      </c>
      <c r="M49" s="64">
        <f t="shared" si="15"/>
        <v>76075.25075832539</v>
      </c>
      <c r="N49" s="64">
        <f t="shared" si="15"/>
        <v>83846.942422743887</v>
      </c>
      <c r="O49" s="64" t="e">
        <f t="shared" si="15"/>
        <v>#N/A</v>
      </c>
      <c r="P49" s="64" t="e">
        <f t="shared" si="15"/>
        <v>#N/A</v>
      </c>
    </row>
    <row r="50" spans="2:16" x14ac:dyDescent="0.25">
      <c r="C50" t="s">
        <v>477</v>
      </c>
      <c r="F50" s="64">
        <f t="shared" ref="F50:P50" si="16">F$9*F$14*F23</f>
        <v>0</v>
      </c>
      <c r="G50" s="64">
        <f t="shared" si="16"/>
        <v>311.79696262230942</v>
      </c>
      <c r="H50" s="64">
        <f t="shared" si="16"/>
        <v>682.99033437558705</v>
      </c>
      <c r="I50" s="64">
        <f t="shared" si="16"/>
        <v>1118.3243302672299</v>
      </c>
      <c r="J50" s="64">
        <f t="shared" si="16"/>
        <v>1622.8263611393668</v>
      </c>
      <c r="K50" s="64">
        <f t="shared" si="16"/>
        <v>2201.8215925420232</v>
      </c>
      <c r="L50" s="64">
        <f t="shared" si="16"/>
        <v>2860.9481867389418</v>
      </c>
      <c r="M50" s="64">
        <f t="shared" si="16"/>
        <v>3606.1732579817067</v>
      </c>
      <c r="N50" s="64">
        <f t="shared" si="16"/>
        <v>4443.8095724592886</v>
      </c>
      <c r="O50" s="64" t="e">
        <f t="shared" si="16"/>
        <v>#N/A</v>
      </c>
      <c r="P50" s="64" t="e">
        <f t="shared" si="16"/>
        <v>#N/A</v>
      </c>
    </row>
    <row r="51" spans="2:16" x14ac:dyDescent="0.25">
      <c r="C51" t="s">
        <v>475</v>
      </c>
      <c r="F51" s="64">
        <f t="shared" ref="F51:P51" si="17">F$9*F$14*F24</f>
        <v>75968.066497301421</v>
      </c>
      <c r="G51" s="64">
        <f t="shared" si="17"/>
        <v>77142.484582952442</v>
      </c>
      <c r="H51" s="64">
        <f t="shared" si="17"/>
        <v>77507.838474247095</v>
      </c>
      <c r="I51" s="64">
        <f t="shared" si="17"/>
        <v>76985.33951777099</v>
      </c>
      <c r="J51" s="64">
        <f t="shared" si="17"/>
        <v>75491.159277918952</v>
      </c>
      <c r="K51" s="64">
        <f t="shared" si="17"/>
        <v>72936.161245132287</v>
      </c>
      <c r="L51" s="64">
        <f t="shared" si="17"/>
        <v>69225.619688591381</v>
      </c>
      <c r="M51" s="64">
        <f t="shared" si="17"/>
        <v>64258.92507827979</v>
      </c>
      <c r="N51" s="64">
        <f t="shared" si="17"/>
        <v>57929.275476828894</v>
      </c>
      <c r="O51" s="64" t="e">
        <f t="shared" si="17"/>
        <v>#N/A</v>
      </c>
      <c r="P51" s="64" t="e">
        <f t="shared" si="17"/>
        <v>#N/A</v>
      </c>
    </row>
    <row r="53" spans="2:16" ht="15.75" thickBot="1" x14ac:dyDescent="0.3">
      <c r="B53" s="51" t="s">
        <v>492</v>
      </c>
      <c r="C53" s="51"/>
      <c r="D53" s="51"/>
      <c r="E53" s="51"/>
      <c r="F53" s="51"/>
      <c r="G53" s="51"/>
      <c r="H53" s="51"/>
      <c r="I53" s="51"/>
      <c r="J53" s="51"/>
      <c r="K53" s="51"/>
      <c r="L53" s="51"/>
      <c r="M53" s="51"/>
      <c r="N53" s="51"/>
      <c r="O53" s="51"/>
      <c r="P53" s="51"/>
    </row>
    <row r="54" spans="2:16" x14ac:dyDescent="0.25">
      <c r="C54" t="s">
        <v>474</v>
      </c>
      <c r="F54" s="65" t="e">
        <v>#N/A</v>
      </c>
      <c r="G54" s="66">
        <f>F47*(1/SUMPRODUCT('Costing inputs'!$M$294:$M$296,'Costing inputs'!$O$294:$O$296))+(G47-F47)</f>
        <v>30889.430835720908</v>
      </c>
      <c r="H54" s="66">
        <f>G47*(1/SUMPRODUCT('Costing inputs'!$M$294:$M$296,'Costing inputs'!$O$294:$O$296))+(H47-G47)</f>
        <v>37508.904314278778</v>
      </c>
      <c r="I54" s="66">
        <f>H47*(1/SUMPRODUCT('Costing inputs'!$M$294:$M$296,'Costing inputs'!$O$294:$O$296))+(I47-H47)</f>
        <v>44921.499989847158</v>
      </c>
      <c r="J54" s="66">
        <f>I47*(1/SUMPRODUCT('Costing inputs'!$M$294:$M$296,'Costing inputs'!$O$294:$O$296))+(J47-I47)</f>
        <v>53184.034755682616</v>
      </c>
      <c r="K54" s="66">
        <f>J47*(1/SUMPRODUCT('Costing inputs'!$M$294:$M$296,'Costing inputs'!$O$294:$O$296))+(K47-J47)</f>
        <v>62356.560362311997</v>
      </c>
      <c r="L54" s="66">
        <f>K47*(1/SUMPRODUCT('Costing inputs'!$M$294:$M$296,'Costing inputs'!$O$294:$O$296))+(L47-K47)</f>
        <v>72502.525411362411</v>
      </c>
      <c r="M54" s="66">
        <f>L47*(1/SUMPRODUCT('Costing inputs'!$M$294:$M$296,'Costing inputs'!$O$294:$O$296))+(M47-L47)</f>
        <v>83688.944825093728</v>
      </c>
      <c r="N54" s="66">
        <f>M47*(1/SUMPRODUCT('Costing inputs'!$M$294:$M$296,'Costing inputs'!$O$294:$O$296))+(N47-M47)</f>
        <v>95986.57711765448</v>
      </c>
      <c r="O54" s="66" t="e">
        <f>N47*(1/SUMPRODUCT('Costing inputs'!$M$294:$M$296,'Costing inputs'!$O$294:$O$296))+(O47-N47)</f>
        <v>#N/A</v>
      </c>
      <c r="P54" s="66" t="e">
        <f>O47*(1/SUMPRODUCT('Costing inputs'!$M$294:$M$296,'Costing inputs'!$O$294:$O$296))+(P47-O47)</f>
        <v>#N/A</v>
      </c>
    </row>
    <row r="55" spans="2:16" x14ac:dyDescent="0.25">
      <c r="C55" t="s">
        <v>476</v>
      </c>
      <c r="F55" s="65" t="e">
        <v>#N/A</v>
      </c>
      <c r="G55" s="66">
        <f>F48*(1/'Costing inputs'!$M$298)+(G48-F48)</f>
        <v>8001.8780700007301</v>
      </c>
      <c r="H55" s="66">
        <f>G48*(1/'Costing inputs'!$M$298)+(H48-G48)</f>
        <v>9375.2094303085341</v>
      </c>
      <c r="I55" s="66">
        <f>H48*(1/'Costing inputs'!$M$298)+(I48-H48)</f>
        <v>10895.938701619001</v>
      </c>
      <c r="J55" s="66">
        <f>I48*(1/'Costing inputs'!$M$298)+(J48-I48)</f>
        <v>12574.259414990116</v>
      </c>
      <c r="K55" s="66">
        <f>J48*(1/'Costing inputs'!$M$298)+(K48-J48)</f>
        <v>14420.935875400892</v>
      </c>
      <c r="L55" s="66">
        <f>K48*(1/'Costing inputs'!$M$298)+(L48-K48)</f>
        <v>16447.331471454952</v>
      </c>
      <c r="M55" s="66">
        <f>L48*(1/'Costing inputs'!$M$298)+(M48-L48)</f>
        <v>18665.438283420248</v>
      </c>
      <c r="N55" s="66">
        <f>M48*(1/'Costing inputs'!$M$298)+(N48-M48)</f>
        <v>21087.908045979904</v>
      </c>
      <c r="O55" s="66" t="e">
        <f>N48*(1/'Costing inputs'!$M$298)+(O48-N48)</f>
        <v>#N/A</v>
      </c>
      <c r="P55" s="66" t="e">
        <f>O48*(1/'Costing inputs'!$M$298)+(P48-O48)</f>
        <v>#N/A</v>
      </c>
    </row>
    <row r="56" spans="2:16" x14ac:dyDescent="0.25">
      <c r="C56" t="s">
        <v>473</v>
      </c>
      <c r="F56" s="65" t="e">
        <v>#N/A</v>
      </c>
      <c r="G56" s="66">
        <f>F49*(1/(49-'Costing inputs'!$M$300))+(G49-F49)</f>
        <v>8341.295472875272</v>
      </c>
      <c r="H56" s="66">
        <f>G49*(1/(49-'Costing inputs'!$M$300))+(H49-G49)</f>
        <v>9212.4786427966937</v>
      </c>
      <c r="I56" s="66">
        <f>H49*(1/(49-'Costing inputs'!$M$300))+(I49-H49)</f>
        <v>10148.899836803081</v>
      </c>
      <c r="J56" s="66">
        <f>I49*(1/(49-'Costing inputs'!$M$300))+(J49-I49)</f>
        <v>11154.418958078724</v>
      </c>
      <c r="K56" s="66">
        <f>J49*(1/(49-'Costing inputs'!$M$300))+(K49-J49)</f>
        <v>12233.094596233601</v>
      </c>
      <c r="L56" s="66">
        <f>K49*(1/(49-'Costing inputs'!$M$300))+(L49-K49)</f>
        <v>13389.193381297391</v>
      </c>
      <c r="M56" s="66">
        <f>L49*(1/(49-'Costing inputs'!$M$300))+(M49-L49)</f>
        <v>14627.199751813394</v>
      </c>
      <c r="N56" s="66">
        <f>M49*(1/(49-'Costing inputs'!$M$300))+(N49-M49)</f>
        <v>15951.826154561015</v>
      </c>
      <c r="O56" s="66" t="e">
        <f>N49*(1/(49-'Costing inputs'!$M$300))+(O49-N49)</f>
        <v>#N/A</v>
      </c>
      <c r="P56" s="66" t="e">
        <f>O49*(1/(49-'Costing inputs'!$M$300))+(P49-O49)</f>
        <v>#N/A</v>
      </c>
    </row>
    <row r="57" spans="2:16" x14ac:dyDescent="0.25">
      <c r="C57" s="14" t="s">
        <v>477</v>
      </c>
      <c r="F57" s="65" t="e">
        <v>#N/A</v>
      </c>
      <c r="G57" s="66">
        <f>G50-F50</f>
        <v>311.79696262230942</v>
      </c>
      <c r="H57" s="66">
        <f>H50-G50</f>
        <v>371.19337175327763</v>
      </c>
      <c r="I57" s="66">
        <f t="shared" ref="I57:P57" si="18">I50-H50</f>
        <v>435.33399589164287</v>
      </c>
      <c r="J57" s="66">
        <f t="shared" si="18"/>
        <v>504.50203087213686</v>
      </c>
      <c r="K57" s="66">
        <f t="shared" si="18"/>
        <v>578.99523140265637</v>
      </c>
      <c r="L57" s="66">
        <f t="shared" si="18"/>
        <v>659.12659419691863</v>
      </c>
      <c r="M57" s="66">
        <f t="shared" si="18"/>
        <v>745.2250712427649</v>
      </c>
      <c r="N57" s="66">
        <f t="shared" si="18"/>
        <v>837.63631447758189</v>
      </c>
      <c r="O57" s="66" t="e">
        <f t="shared" si="18"/>
        <v>#N/A</v>
      </c>
      <c r="P57" s="66" t="e">
        <f t="shared" si="18"/>
        <v>#N/A</v>
      </c>
    </row>
    <row r="59" spans="2:16" ht="15.75" thickBot="1" x14ac:dyDescent="0.3">
      <c r="B59" s="51" t="s">
        <v>516</v>
      </c>
      <c r="C59" s="51"/>
      <c r="D59" s="51"/>
      <c r="E59" s="51"/>
      <c r="F59" s="51"/>
      <c r="G59" s="51"/>
      <c r="H59" s="51"/>
      <c r="I59" s="51"/>
      <c r="J59" s="51"/>
      <c r="K59" s="51"/>
      <c r="L59" s="51"/>
      <c r="M59" s="51"/>
      <c r="N59" s="51"/>
      <c r="O59" s="51"/>
      <c r="P59" s="51"/>
    </row>
    <row r="60" spans="2:16" x14ac:dyDescent="0.25">
      <c r="C60" t="s">
        <v>479</v>
      </c>
      <c r="D60" s="1"/>
      <c r="F60" s="64">
        <f>F$11*F$28*F30</f>
        <v>19379.61498632672</v>
      </c>
      <c r="G60" s="64">
        <f>G$11*G$28*G30</f>
        <v>21078.616236624719</v>
      </c>
      <c r="H60" s="64">
        <f t="shared" ref="H60:P60" si="19">H$11*H$28*H30</f>
        <v>22875.092121140086</v>
      </c>
      <c r="I60" s="64">
        <f t="shared" si="19"/>
        <v>24773.815904140669</v>
      </c>
      <c r="J60" s="64">
        <f t="shared" si="19"/>
        <v>26779.775314060647</v>
      </c>
      <c r="K60" s="64">
        <f t="shared" si="19"/>
        <v>28898.181662641528</v>
      </c>
      <c r="L60" s="64">
        <f t="shared" si="19"/>
        <v>31134.479337087028</v>
      </c>
      <c r="M60" s="64">
        <f t="shared" si="19"/>
        <v>33494.35568005481</v>
      </c>
      <c r="N60" s="64">
        <f t="shared" si="19"/>
        <v>35983.751272883841</v>
      </c>
      <c r="O60" s="64" t="e">
        <f t="shared" si="19"/>
        <v>#N/A</v>
      </c>
      <c r="P60" s="64" t="e">
        <f t="shared" si="19"/>
        <v>#N/A</v>
      </c>
    </row>
    <row r="61" spans="2:16" x14ac:dyDescent="0.25">
      <c r="C61" t="s">
        <v>478</v>
      </c>
      <c r="F61" s="64">
        <f t="shared" ref="F61:P61" si="20">F$11*F$28*F31</f>
        <v>32411.606260137673</v>
      </c>
      <c r="G61" s="64">
        <f t="shared" si="20"/>
        <v>37514.2192255107</v>
      </c>
      <c r="H61" s="64">
        <f t="shared" si="20"/>
        <v>43144.842715403844</v>
      </c>
      <c r="I61" s="64">
        <f t="shared" si="20"/>
        <v>49339.552576655347</v>
      </c>
      <c r="J61" s="64">
        <f t="shared" si="20"/>
        <v>56136.43309149026</v>
      </c>
      <c r="K61" s="64">
        <f t="shared" si="20"/>
        <v>63575.676264164904</v>
      </c>
      <c r="L61" s="64">
        <f t="shared" si="20"/>
        <v>71699.685651349151</v>
      </c>
      <c r="M61" s="64">
        <f t="shared" si="20"/>
        <v>80553.184933248995</v>
      </c>
      <c r="N61" s="64">
        <f t="shared" si="20"/>
        <v>90183.33143067958</v>
      </c>
      <c r="O61" s="64" t="e">
        <f t="shared" si="20"/>
        <v>#N/A</v>
      </c>
      <c r="P61" s="64" t="e">
        <f t="shared" si="20"/>
        <v>#N/A</v>
      </c>
    </row>
    <row r="62" spans="2:16" x14ac:dyDescent="0.25">
      <c r="C62" t="s">
        <v>504</v>
      </c>
      <c r="F62" s="64">
        <f t="shared" ref="F62:P62" si="21">F$11*F$28*F32</f>
        <v>109904.12103977022</v>
      </c>
      <c r="G62" s="64">
        <f t="shared" si="21"/>
        <v>112580.2733077442</v>
      </c>
      <c r="H62" s="64">
        <f t="shared" si="21"/>
        <v>114685.87723932702</v>
      </c>
      <c r="I62" s="64">
        <f t="shared" si="21"/>
        <v>116161.54039269619</v>
      </c>
      <c r="J62" s="64">
        <f t="shared" si="21"/>
        <v>116944.00906826113</v>
      </c>
      <c r="K62" s="64">
        <f t="shared" si="21"/>
        <v>116965.96138577086</v>
      </c>
      <c r="L62" s="64">
        <f t="shared" si="21"/>
        <v>116155.79041243628</v>
      </c>
      <c r="M62" s="64">
        <f t="shared" si="21"/>
        <v>114437.37689610613</v>
      </c>
      <c r="N62" s="64">
        <f t="shared" si="21"/>
        <v>111729.85113850566</v>
      </c>
      <c r="O62" s="64" t="e">
        <f t="shared" si="21"/>
        <v>#N/A</v>
      </c>
      <c r="P62" s="64" t="e">
        <f t="shared" si="21"/>
        <v>#N/A</v>
      </c>
    </row>
    <row r="63" spans="2:16" x14ac:dyDescent="0.25">
      <c r="C63" t="s">
        <v>508</v>
      </c>
      <c r="F63" s="64">
        <f t="shared" ref="F63:P63" si="22">F$11*F$28*F33</f>
        <v>839.93691069107479</v>
      </c>
      <c r="G63" s="64">
        <f t="shared" si="22"/>
        <v>843.24569015364227</v>
      </c>
      <c r="H63" s="64">
        <f t="shared" si="22"/>
        <v>839.42675746919531</v>
      </c>
      <c r="I63" s="64">
        <f t="shared" si="22"/>
        <v>827.81321075380129</v>
      </c>
      <c r="J63" s="64">
        <f t="shared" si="22"/>
        <v>807.69613029647098</v>
      </c>
      <c r="K63" s="64">
        <f t="shared" si="22"/>
        <v>778.32236000947671</v>
      </c>
      <c r="L63" s="64">
        <f t="shared" si="22"/>
        <v>738.89218312362527</v>
      </c>
      <c r="M63" s="64">
        <f t="shared" si="22"/>
        <v>688.55688741454628</v>
      </c>
      <c r="N63" s="64">
        <f t="shared" si="22"/>
        <v>626.41621504569594</v>
      </c>
      <c r="O63" s="64" t="e">
        <f t="shared" si="22"/>
        <v>#N/A</v>
      </c>
      <c r="P63" s="64" t="e">
        <f t="shared" si="22"/>
        <v>#N/A</v>
      </c>
    </row>
    <row r="64" spans="2:16" x14ac:dyDescent="0.25">
      <c r="C64" t="s">
        <v>474</v>
      </c>
      <c r="F64" s="64">
        <f t="shared" ref="F64:P64" si="23">F$11*F$28*F34</f>
        <v>0</v>
      </c>
      <c r="G64" s="64">
        <f t="shared" si="23"/>
        <v>3994.5129654812777</v>
      </c>
      <c r="H64" s="64">
        <f t="shared" si="23"/>
        <v>8633.8217964162068</v>
      </c>
      <c r="I64" s="64">
        <f t="shared" si="23"/>
        <v>13967.555752058379</v>
      </c>
      <c r="J64" s="64">
        <f t="shared" si="23"/>
        <v>20048.258579851918</v>
      </c>
      <c r="K64" s="64">
        <f t="shared" si="23"/>
        <v>26931.536973884242</v>
      </c>
      <c r="L64" s="64">
        <f t="shared" si="23"/>
        <v>34676.215958294168</v>
      </c>
      <c r="M64" s="64">
        <f t="shared" si="23"/>
        <v>43344.501499868631</v>
      </c>
      <c r="N64" s="64">
        <f t="shared" si="23"/>
        <v>53002.150666858892</v>
      </c>
      <c r="O64" s="64" t="e">
        <f t="shared" si="23"/>
        <v>#N/A</v>
      </c>
      <c r="P64" s="64" t="e">
        <f t="shared" si="23"/>
        <v>#N/A</v>
      </c>
    </row>
    <row r="65" spans="2:16" x14ac:dyDescent="0.25">
      <c r="C65" t="s">
        <v>476</v>
      </c>
      <c r="F65" s="64">
        <f t="shared" ref="F65:P65" si="24">F$11*F$28*F35</f>
        <v>0</v>
      </c>
      <c r="G65" s="64">
        <f t="shared" si="24"/>
        <v>183.71903616412897</v>
      </c>
      <c r="H65" s="64">
        <f t="shared" si="24"/>
        <v>397.09407193257698</v>
      </c>
      <c r="I65" s="64">
        <f t="shared" si="24"/>
        <v>642.40769838826259</v>
      </c>
      <c r="J65" s="64">
        <f t="shared" si="24"/>
        <v>922.07655223265715</v>
      </c>
      <c r="K65" s="64">
        <f t="shared" si="24"/>
        <v>1238.6581438131536</v>
      </c>
      <c r="L65" s="64">
        <f t="shared" si="24"/>
        <v>1594.8580036488684</v>
      </c>
      <c r="M65" s="64">
        <f t="shared" si="24"/>
        <v>1993.5371614474311</v>
      </c>
      <c r="N65" s="64">
        <f t="shared" si="24"/>
        <v>2437.7199721939169</v>
      </c>
      <c r="O65" s="64" t="e">
        <f t="shared" si="24"/>
        <v>#N/A</v>
      </c>
      <c r="P65" s="64" t="e">
        <f t="shared" si="24"/>
        <v>#N/A</v>
      </c>
    </row>
    <row r="66" spans="2:16" x14ac:dyDescent="0.25">
      <c r="C66" t="s">
        <v>473</v>
      </c>
      <c r="F66" s="64">
        <f t="shared" ref="F66:P66" si="25">F$11*F$28*F36</f>
        <v>1419.6123330429573</v>
      </c>
      <c r="G66" s="64">
        <f t="shared" si="25"/>
        <v>1546.6919174995019</v>
      </c>
      <c r="H66" s="64">
        <f t="shared" si="25"/>
        <v>1681.3351836208265</v>
      </c>
      <c r="I66" s="64">
        <f t="shared" si="25"/>
        <v>1823.9243742202295</v>
      </c>
      <c r="J66" s="64">
        <f t="shared" si="25"/>
        <v>1974.8593559348351</v>
      </c>
      <c r="K66" s="64">
        <f t="shared" si="25"/>
        <v>2134.5583847094772</v>
      </c>
      <c r="L66" s="64">
        <f t="shared" si="25"/>
        <v>2303.4589031519854</v>
      </c>
      <c r="M66" s="64">
        <f t="shared" si="25"/>
        <v>2482.0183710454571</v>
      </c>
      <c r="N66" s="64">
        <f t="shared" si="25"/>
        <v>2670.7151303536784</v>
      </c>
      <c r="O66" s="64" t="e">
        <f t="shared" si="25"/>
        <v>#N/A</v>
      </c>
      <c r="P66" s="64" t="e">
        <f t="shared" si="25"/>
        <v>#N/A</v>
      </c>
    </row>
    <row r="67" spans="2:16" x14ac:dyDescent="0.25">
      <c r="C67" t="s">
        <v>477</v>
      </c>
      <c r="F67" s="64">
        <f t="shared" ref="F67:P67" si="26">F$11*F$28*F37</f>
        <v>823.30316551604778</v>
      </c>
      <c r="G67" s="64">
        <f t="shared" si="26"/>
        <v>838.94313519559523</v>
      </c>
      <c r="H67" s="64">
        <f t="shared" si="26"/>
        <v>849.59762962191826</v>
      </c>
      <c r="I67" s="64">
        <f t="shared" si="26"/>
        <v>854.76697518197977</v>
      </c>
      <c r="J67" s="64">
        <f t="shared" si="26"/>
        <v>853.91935746639513</v>
      </c>
      <c r="K67" s="64">
        <f t="shared" si="26"/>
        <v>846.4891073862691</v>
      </c>
      <c r="L67" s="64">
        <f t="shared" si="26"/>
        <v>831.87490512047054</v>
      </c>
      <c r="M67" s="64">
        <f t="shared" si="26"/>
        <v>809.43789821692678</v>
      </c>
      <c r="N67" s="64">
        <f t="shared" si="26"/>
        <v>778.49973001484568</v>
      </c>
      <c r="O67" s="64" t="e">
        <f t="shared" si="26"/>
        <v>#N/A</v>
      </c>
      <c r="P67" s="64" t="e">
        <f t="shared" si="26"/>
        <v>#N/A</v>
      </c>
    </row>
    <row r="68" spans="2:16" x14ac:dyDescent="0.25">
      <c r="C68" t="s">
        <v>475</v>
      </c>
      <c r="F68" s="64">
        <f t="shared" ref="F68:P68" si="27">F$11*F$28*F38</f>
        <v>2315.2235002294774</v>
      </c>
      <c r="G68" s="64">
        <f t="shared" si="27"/>
        <v>2395.7195852674927</v>
      </c>
      <c r="H68" s="64">
        <f t="shared" si="27"/>
        <v>2468.0901536557067</v>
      </c>
      <c r="I68" s="64">
        <f t="shared" si="27"/>
        <v>2531.3837370661581</v>
      </c>
      <c r="J68" s="64">
        <f t="shared" si="27"/>
        <v>2584.5851254942631</v>
      </c>
      <c r="K68" s="64">
        <f t="shared" si="27"/>
        <v>2626.611904711634</v>
      </c>
      <c r="L68" s="64">
        <f t="shared" si="27"/>
        <v>2656.310825951085</v>
      </c>
      <c r="M68" s="64">
        <f t="shared" si="27"/>
        <v>2672.4540002663734</v>
      </c>
      <c r="N68" s="64">
        <f t="shared" si="27"/>
        <v>2673.7349096856246</v>
      </c>
      <c r="O68" s="64" t="e">
        <f t="shared" si="27"/>
        <v>#N/A</v>
      </c>
      <c r="P68" s="64" t="e">
        <f t="shared" si="27"/>
        <v>#N/A</v>
      </c>
    </row>
    <row r="69" spans="2:16" x14ac:dyDescent="0.25">
      <c r="F69" s="85"/>
      <c r="G69" s="85"/>
      <c r="H69" s="85"/>
      <c r="I69" s="85"/>
      <c r="J69" s="85"/>
      <c r="K69" s="85"/>
      <c r="L69" s="85"/>
      <c r="M69" s="85"/>
      <c r="N69" s="85"/>
    </row>
    <row r="70" spans="2:16" ht="15.75" thickBot="1" x14ac:dyDescent="0.3">
      <c r="B70" s="51" t="s">
        <v>517</v>
      </c>
      <c r="C70" s="51"/>
      <c r="D70" s="51"/>
      <c r="E70" s="51"/>
      <c r="F70" s="51"/>
      <c r="G70" s="51"/>
      <c r="H70" s="51"/>
      <c r="I70" s="51"/>
      <c r="J70" s="51"/>
      <c r="K70" s="51"/>
      <c r="L70" s="51"/>
      <c r="M70" s="51"/>
      <c r="N70" s="51"/>
      <c r="O70" s="51"/>
      <c r="P70" s="51"/>
    </row>
    <row r="71" spans="2:16" x14ac:dyDescent="0.25">
      <c r="C71" t="s">
        <v>474</v>
      </c>
      <c r="F71" s="65" t="e">
        <v>#N/A</v>
      </c>
      <c r="G71" s="66">
        <f>F64*(1/SUMPRODUCT('Costing inputs'!$M$294:$M$296,'Costing inputs'!$O$294:$O$296))+(G64-F64)</f>
        <v>3994.5129654812777</v>
      </c>
      <c r="H71" s="66">
        <f>G64*(1/SUMPRODUCT('Costing inputs'!$M$294:$M$296,'Costing inputs'!$O$294:$O$296))+(H64-G64)</f>
        <v>5698.8613416726694</v>
      </c>
      <c r="I71" s="66">
        <f>H64*(1/SUMPRODUCT('Costing inputs'!$M$294:$M$296,'Costing inputs'!$O$294:$O$296))+(I64-H64)</f>
        <v>7623.8723631796274</v>
      </c>
      <c r="J71" s="66">
        <f>I64*(1/SUMPRODUCT('Costing inputs'!$M$294:$M$296,'Costing inputs'!$O$294:$O$296))+(J64-I64)</f>
        <v>9785.6247779416499</v>
      </c>
      <c r="K71" s="66">
        <f>J64*(1/SUMPRODUCT('Costing inputs'!$M$294:$M$296,'Costing inputs'!$O$294:$O$296))+(K64-J64)</f>
        <v>12201.118866141587</v>
      </c>
      <c r="L71" s="66">
        <f>K64*(1/SUMPRODUCT('Costing inputs'!$M$294:$M$296,'Costing inputs'!$O$294:$O$296))+(L64-K64)</f>
        <v>14888.322744060919</v>
      </c>
      <c r="M71" s="66">
        <f>L64*(1/SUMPRODUCT('Costing inputs'!$M$294:$M$296,'Costing inputs'!$O$294:$O$296))+(M64-L64)</f>
        <v>17866.220809026498</v>
      </c>
      <c r="N71" s="66">
        <f>M64*(1/SUMPRODUCT('Costing inputs'!$M$294:$M$296,'Costing inputs'!$O$294:$O$296))+(N64-M64)</f>
        <v>21154.864418944806</v>
      </c>
      <c r="O71" s="66" t="e">
        <f>N64*(1/SUMPRODUCT('Costing inputs'!$M$294:$M$296,'Costing inputs'!$O$294:$O$296))+(O64-N64)</f>
        <v>#N/A</v>
      </c>
      <c r="P71" s="66" t="e">
        <f>O64*(1/SUMPRODUCT('Costing inputs'!$M$294:$M$296,'Costing inputs'!$O$294:$O$296))+(P64-O64)</f>
        <v>#N/A</v>
      </c>
    </row>
    <row r="72" spans="2:16" x14ac:dyDescent="0.25">
      <c r="C72" t="s">
        <v>476</v>
      </c>
      <c r="F72" s="65" t="e">
        <v>#N/A</v>
      </c>
      <c r="G72" s="66">
        <f>F65*(1/'Costing inputs'!$M$298)+(G65-F65)</f>
        <v>183.71903616412897</v>
      </c>
      <c r="H72" s="66">
        <f>G65*(1/'Costing inputs'!$M$298)+(H65-G65)</f>
        <v>253.31395667369344</v>
      </c>
      <c r="I72" s="66">
        <f>H65*(1/'Costing inputs'!$M$298)+(I65-H65)</f>
        <v>331.63842470189797</v>
      </c>
      <c r="J72" s="66">
        <f>I65*(1/'Costing inputs'!$M$298)+(J65-I65)</f>
        <v>419.32270132010387</v>
      </c>
      <c r="K72" s="66">
        <f>J65*(1/'Costing inputs'!$M$298)+(K65-J65)</f>
        <v>517.03301597890027</v>
      </c>
      <c r="L72" s="66">
        <f>K65*(1/'Costing inputs'!$M$298)+(L65-K65)</f>
        <v>625.47336936031343</v>
      </c>
      <c r="M72" s="66">
        <f>L65*(1/'Costing inputs'!$M$298)+(M65-L65)</f>
        <v>745.3874194613602</v>
      </c>
      <c r="N72" s="66">
        <f>M65*(1/'Costing inputs'!$M$298)+(N65-M65)</f>
        <v>877.56045453940555</v>
      </c>
      <c r="O72" s="66" t="e">
        <f>N65*(1/'Costing inputs'!$M$298)+(O65-N65)</f>
        <v>#N/A</v>
      </c>
      <c r="P72" s="66" t="e">
        <f>O65*(1/'Costing inputs'!$M$298)+(P65-O65)</f>
        <v>#N/A</v>
      </c>
    </row>
    <row r="73" spans="2:16" x14ac:dyDescent="0.25">
      <c r="C73" t="s">
        <v>473</v>
      </c>
      <c r="F73" s="65" t="e">
        <v>#N/A</v>
      </c>
      <c r="G73" s="66">
        <f>F66*(1/(49-'Costing inputs'!$M$300))+(G66-F66)</f>
        <v>279.72607188051853</v>
      </c>
      <c r="H73" s="66">
        <f>G66*(1/(49-'Costing inputs'!$M$300))+(H66-G66)</f>
        <v>300.95422499223878</v>
      </c>
      <c r="I73" s="66">
        <f>H66*(1/(49-'Costing inputs'!$M$300))+(I66-H66)</f>
        <v>323.37792002099741</v>
      </c>
      <c r="J73" s="66">
        <f>I66*(1/(49-'Costing inputs'!$M$300))+(J66-I66)</f>
        <v>347.05588216839374</v>
      </c>
      <c r="K73" s="66">
        <f>J66*(1/(49-'Costing inputs'!$M$300))+(K66-J66)</f>
        <v>372.04949715473197</v>
      </c>
      <c r="L73" s="66">
        <f>K66*(1/(49-'Costing inputs'!$M$300))+(L66-K66)</f>
        <v>398.42292540051653</v>
      </c>
      <c r="M73" s="66">
        <f>L66*(1/(49-'Costing inputs'!$M$300))+(M66-L66)</f>
        <v>426.24322092056696</v>
      </c>
      <c r="N73" s="66">
        <f>M66*(1/(49-'Costing inputs'!$M$300))+(N66-M66)</f>
        <v>455.58045511956084</v>
      </c>
      <c r="O73" s="66" t="e">
        <f>N66*(1/(49-'Costing inputs'!$M$300))+(O66-N66)</f>
        <v>#N/A</v>
      </c>
      <c r="P73" s="66" t="e">
        <f>O66*(1/(49-'Costing inputs'!$M$300))+(P66-O66)</f>
        <v>#N/A</v>
      </c>
    </row>
    <row r="74" spans="2:16" x14ac:dyDescent="0.25">
      <c r="C74" s="14" t="s">
        <v>477</v>
      </c>
      <c r="F74" s="65" t="e">
        <v>#N/A</v>
      </c>
      <c r="G74" s="66">
        <f t="shared" ref="G74:P74" si="28">G67-F67</f>
        <v>15.639969679547448</v>
      </c>
      <c r="H74" s="66">
        <f t="shared" si="28"/>
        <v>10.654494426323026</v>
      </c>
      <c r="I74" s="66">
        <f t="shared" si="28"/>
        <v>5.1693455600615152</v>
      </c>
      <c r="J74" s="66">
        <f t="shared" si="28"/>
        <v>-0.84761771558464716</v>
      </c>
      <c r="K74" s="66">
        <f t="shared" si="28"/>
        <v>-7.4302500801260294</v>
      </c>
      <c r="L74" s="66">
        <f t="shared" si="28"/>
        <v>-14.614202265798554</v>
      </c>
      <c r="M74" s="66">
        <f t="shared" si="28"/>
        <v>-22.437006903543761</v>
      </c>
      <c r="N74" s="66">
        <f t="shared" si="28"/>
        <v>-30.938168202081101</v>
      </c>
      <c r="O74" s="66" t="e">
        <f t="shared" si="28"/>
        <v>#N/A</v>
      </c>
      <c r="P74" s="66" t="e">
        <f t="shared" si="28"/>
        <v>#N/A</v>
      </c>
    </row>
    <row r="76" spans="2:16" ht="15.75" thickBot="1" x14ac:dyDescent="0.3">
      <c r="B76" s="51" t="s">
        <v>493</v>
      </c>
      <c r="C76" s="51"/>
      <c r="D76" s="51"/>
      <c r="E76" s="51"/>
      <c r="F76" s="51"/>
      <c r="G76" s="51"/>
      <c r="H76" s="51"/>
      <c r="I76" s="51"/>
      <c r="J76" s="51"/>
      <c r="K76" s="51"/>
      <c r="L76" s="51"/>
      <c r="M76" s="51"/>
      <c r="N76" s="51"/>
      <c r="O76" s="51"/>
      <c r="P76" s="51"/>
    </row>
    <row r="77" spans="2:16" x14ac:dyDescent="0.25">
      <c r="C77" t="s">
        <v>479</v>
      </c>
      <c r="D77" s="1"/>
      <c r="F77" s="64">
        <f>F43+F60</f>
        <v>196351.35427915538</v>
      </c>
      <c r="G77" s="64">
        <f t="shared" ref="G77:P77" si="29">G43+G60</f>
        <v>214376.55732097986</v>
      </c>
      <c r="H77" s="64">
        <f t="shared" si="29"/>
        <v>233203.39428930625</v>
      </c>
      <c r="I77" s="64">
        <f t="shared" si="29"/>
        <v>252859.8826585112</v>
      </c>
      <c r="J77" s="64">
        <f t="shared" si="29"/>
        <v>273374.85761094268</v>
      </c>
      <c r="K77" s="64">
        <f t="shared" si="29"/>
        <v>294777.99073514435</v>
      </c>
      <c r="L77" s="64">
        <f t="shared" si="29"/>
        <v>317099.80892518704</v>
      </c>
      <c r="M77" s="64">
        <f t="shared" si="29"/>
        <v>340371.71346976829</v>
      </c>
      <c r="N77" s="64">
        <f t="shared" si="29"/>
        <v>364625.99931864429</v>
      </c>
      <c r="O77" s="64" t="e">
        <f t="shared" si="29"/>
        <v>#N/A</v>
      </c>
      <c r="P77" s="64" t="e">
        <f t="shared" si="29"/>
        <v>#N/A</v>
      </c>
    </row>
    <row r="78" spans="2:16" x14ac:dyDescent="0.25">
      <c r="C78" t="s">
        <v>478</v>
      </c>
      <c r="F78" s="64">
        <f t="shared" ref="F78:P78" si="30">F44+F61</f>
        <v>273319.70344557223</v>
      </c>
      <c r="G78" s="64">
        <f t="shared" si="30"/>
        <v>303251.80230581359</v>
      </c>
      <c r="H78" s="64">
        <f t="shared" si="30"/>
        <v>335166.70564455428</v>
      </c>
      <c r="I78" s="64">
        <f t="shared" si="30"/>
        <v>369171.76742407418</v>
      </c>
      <c r="J78" s="64">
        <f t="shared" si="30"/>
        <v>405379.5372266894</v>
      </c>
      <c r="K78" s="64">
        <f t="shared" si="30"/>
        <v>443907.99421544117</v>
      </c>
      <c r="L78" s="64">
        <f t="shared" si="30"/>
        <v>484880.79111183941</v>
      </c>
      <c r="M78" s="64">
        <f t="shared" si="30"/>
        <v>528427.50860382488</v>
      </c>
      <c r="N78" s="64">
        <f t="shared" si="30"/>
        <v>574683.92061366257</v>
      </c>
      <c r="O78" s="64" t="e">
        <f t="shared" si="30"/>
        <v>#N/A</v>
      </c>
      <c r="P78" s="64" t="e">
        <f t="shared" si="30"/>
        <v>#N/A</v>
      </c>
    </row>
    <row r="79" spans="2:16" x14ac:dyDescent="0.25">
      <c r="C79" t="s">
        <v>504</v>
      </c>
      <c r="F79" s="64">
        <f t="shared" ref="F79:P80" si="31">F45+F62</f>
        <v>240703.37045275894</v>
      </c>
      <c r="G79" s="64">
        <f t="shared" si="31"/>
        <v>249143.10064380994</v>
      </c>
      <c r="H79" s="64">
        <f t="shared" si="31"/>
        <v>256332.00878334366</v>
      </c>
      <c r="I79" s="64">
        <f t="shared" si="31"/>
        <v>262131.97647131048</v>
      </c>
      <c r="J79" s="64">
        <f t="shared" si="31"/>
        <v>266395.74501967733</v>
      </c>
      <c r="K79" s="64">
        <f t="shared" si="31"/>
        <v>268966.421297569</v>
      </c>
      <c r="L79" s="64">
        <f t="shared" si="31"/>
        <v>269676.95969064411</v>
      </c>
      <c r="M79" s="64">
        <f t="shared" si="31"/>
        <v>268349.61910020752</v>
      </c>
      <c r="N79" s="64">
        <f t="shared" si="31"/>
        <v>264795.39386159164</v>
      </c>
      <c r="O79" s="64" t="e">
        <f t="shared" si="31"/>
        <v>#N/A</v>
      </c>
      <c r="P79" s="64" t="e">
        <f t="shared" si="31"/>
        <v>#N/A</v>
      </c>
    </row>
    <row r="80" spans="2:16" x14ac:dyDescent="0.25">
      <c r="C80" t="s">
        <v>508</v>
      </c>
      <c r="F80" s="64">
        <f t="shared" si="31"/>
        <v>3594.2280916805248</v>
      </c>
      <c r="G80" s="64">
        <f t="shared" si="31"/>
        <v>3693.4606046680756</v>
      </c>
      <c r="H80" s="64">
        <f t="shared" si="31"/>
        <v>3766.3939516700584</v>
      </c>
      <c r="I80" s="64">
        <f t="shared" si="31"/>
        <v>3810.31634613807</v>
      </c>
      <c r="J80" s="64">
        <f t="shared" si="31"/>
        <v>3822.339712703952</v>
      </c>
      <c r="K80" s="64">
        <f t="shared" si="31"/>
        <v>3799.3902322903041</v>
      </c>
      <c r="L80" s="64">
        <f t="shared" si="31"/>
        <v>3738.198432251028</v>
      </c>
      <c r="M80" s="64">
        <f t="shared" si="31"/>
        <v>3635.2888011336017</v>
      </c>
      <c r="N80" s="64">
        <f t="shared" si="31"/>
        <v>3486.9689067833756</v>
      </c>
      <c r="O80" s="64" t="e">
        <f t="shared" si="31"/>
        <v>#N/A</v>
      </c>
      <c r="P80" s="64" t="e">
        <f t="shared" si="31"/>
        <v>#N/A</v>
      </c>
    </row>
    <row r="81" spans="2:20" x14ac:dyDescent="0.25">
      <c r="C81" t="s">
        <v>474</v>
      </c>
      <c r="F81" s="64">
        <f t="shared" ref="F81:P81" si="32">F47+F64</f>
        <v>55459.317529854146</v>
      </c>
      <c r="G81" s="64">
        <f t="shared" si="32"/>
        <v>75632.567026055229</v>
      </c>
      <c r="H81" s="64">
        <f t="shared" si="32"/>
        <v>98778.643815679025</v>
      </c>
      <c r="I81" s="64">
        <f t="shared" si="32"/>
        <v>125122.7843873586</v>
      </c>
      <c r="J81" s="64">
        <f t="shared" si="32"/>
        <v>154903.37644422991</v>
      </c>
      <c r="K81" s="64">
        <f t="shared" si="32"/>
        <v>188372.62690763577</v>
      </c>
      <c r="L81" s="64">
        <f t="shared" si="32"/>
        <v>225797.26102920345</v>
      </c>
      <c r="M81" s="64">
        <f t="shared" si="32"/>
        <v>267459.25397653232</v>
      </c>
      <c r="N81" s="64">
        <f t="shared" si="32"/>
        <v>313656.59631511243</v>
      </c>
      <c r="O81" s="64" t="e">
        <f t="shared" si="32"/>
        <v>#N/A</v>
      </c>
      <c r="P81" s="64" t="e">
        <f t="shared" si="32"/>
        <v>#N/A</v>
      </c>
    </row>
    <row r="82" spans="2:20" x14ac:dyDescent="0.25">
      <c r="C82" t="s">
        <v>476</v>
      </c>
      <c r="F82" s="64">
        <f t="shared" ref="F82:P82" si="33">F48+F65</f>
        <v>18486.439176618009</v>
      </c>
      <c r="G82" s="64">
        <f t="shared" si="33"/>
        <v>22653.245157431127</v>
      </c>
      <c r="H82" s="64">
        <f t="shared" si="33"/>
        <v>27357.150031928326</v>
      </c>
      <c r="I82" s="64">
        <f t="shared" si="33"/>
        <v>32637.520629569153</v>
      </c>
      <c r="J82" s="64">
        <f t="shared" si="33"/>
        <v>38535.98956553825</v>
      </c>
      <c r="K82" s="64">
        <f t="shared" si="33"/>
        <v>45096.569420931468</v>
      </c>
      <c r="L82" s="64">
        <f t="shared" si="33"/>
        <v>52365.772213718155</v>
      </c>
      <c r="M82" s="64">
        <f t="shared" si="33"/>
        <v>60392.734391878417</v>
      </c>
      <c r="N82" s="64">
        <f t="shared" si="33"/>
        <v>69229.347589815457</v>
      </c>
      <c r="O82" s="64" t="e">
        <f t="shared" si="33"/>
        <v>#N/A</v>
      </c>
      <c r="P82" s="64" t="e">
        <f t="shared" si="33"/>
        <v>#N/A</v>
      </c>
    </row>
    <row r="83" spans="2:20" x14ac:dyDescent="0.25">
      <c r="C83" t="s">
        <v>473</v>
      </c>
      <c r="F83" s="64">
        <f t="shared" ref="F83:P83" si="34">F49+F66</f>
        <v>36798.692790899455</v>
      </c>
      <c r="G83" s="64">
        <f t="shared" si="34"/>
        <v>41462.865648461753</v>
      </c>
      <c r="H83" s="64">
        <f t="shared" si="34"/>
        <v>46517.925865878453</v>
      </c>
      <c r="I83" s="64">
        <f t="shared" si="34"/>
        <v>51988.276110242485</v>
      </c>
      <c r="J83" s="64">
        <f t="shared" si="34"/>
        <v>57899.613734334496</v>
      </c>
      <c r="K83" s="64">
        <f t="shared" si="34"/>
        <v>64278.992910052446</v>
      </c>
      <c r="L83" s="64">
        <f t="shared" si="34"/>
        <v>71154.889549002779</v>
      </c>
      <c r="M83" s="64">
        <f t="shared" si="34"/>
        <v>78557.269129370849</v>
      </c>
      <c r="N83" s="64">
        <f t="shared" si="34"/>
        <v>86517.657553097568</v>
      </c>
      <c r="O83" s="64" t="e">
        <f t="shared" si="34"/>
        <v>#N/A</v>
      </c>
      <c r="P83" s="64" t="e">
        <f t="shared" si="34"/>
        <v>#N/A</v>
      </c>
    </row>
    <row r="84" spans="2:20" x14ac:dyDescent="0.25">
      <c r="C84" t="s">
        <v>477</v>
      </c>
      <c r="F84" s="64">
        <f t="shared" ref="F84:P84" si="35">F50+F67</f>
        <v>823.30316551604778</v>
      </c>
      <c r="G84" s="64">
        <f t="shared" si="35"/>
        <v>1150.7400978179046</v>
      </c>
      <c r="H84" s="64">
        <f t="shared" si="35"/>
        <v>1532.5879639975053</v>
      </c>
      <c r="I84" s="64">
        <f t="shared" si="35"/>
        <v>1973.0913054492098</v>
      </c>
      <c r="J84" s="64">
        <f t="shared" si="35"/>
        <v>2476.7457186057618</v>
      </c>
      <c r="K84" s="64">
        <f t="shared" si="35"/>
        <v>3048.3106999282923</v>
      </c>
      <c r="L84" s="64">
        <f t="shared" si="35"/>
        <v>3692.8230918594122</v>
      </c>
      <c r="M84" s="64">
        <f t="shared" si="35"/>
        <v>4415.6111561986336</v>
      </c>
      <c r="N84" s="64">
        <f t="shared" si="35"/>
        <v>5222.3093024741338</v>
      </c>
      <c r="O84" s="64" t="e">
        <f t="shared" si="35"/>
        <v>#N/A</v>
      </c>
      <c r="P84" s="64" t="e">
        <f t="shared" si="35"/>
        <v>#N/A</v>
      </c>
    </row>
    <row r="85" spans="2:20" x14ac:dyDescent="0.25">
      <c r="C85" t="s">
        <v>475</v>
      </c>
      <c r="F85" s="64">
        <f t="shared" ref="F85:P85" si="36">F51+F68</f>
        <v>78283.289997530897</v>
      </c>
      <c r="G85" s="64">
        <f t="shared" si="36"/>
        <v>79538.204168219934</v>
      </c>
      <c r="H85" s="64">
        <f t="shared" si="36"/>
        <v>79975.928627902802</v>
      </c>
      <c r="I85" s="64">
        <f t="shared" si="36"/>
        <v>79516.723254837154</v>
      </c>
      <c r="J85" s="64">
        <f t="shared" si="36"/>
        <v>78075.74440341322</v>
      </c>
      <c r="K85" s="64">
        <f t="shared" si="36"/>
        <v>75562.773149843924</v>
      </c>
      <c r="L85" s="64">
        <f t="shared" si="36"/>
        <v>71881.930514542473</v>
      </c>
      <c r="M85" s="64">
        <f t="shared" si="36"/>
        <v>66931.379078546161</v>
      </c>
      <c r="N85" s="64">
        <f t="shared" si="36"/>
        <v>60603.010386514521</v>
      </c>
      <c r="O85" s="64" t="e">
        <f t="shared" si="36"/>
        <v>#N/A</v>
      </c>
      <c r="P85" s="64" t="e">
        <f t="shared" si="36"/>
        <v>#N/A</v>
      </c>
    </row>
    <row r="86" spans="2:20" x14ac:dyDescent="0.25">
      <c r="N86" s="85"/>
    </row>
    <row r="87" spans="2:20" ht="15.75" thickBot="1" x14ac:dyDescent="0.3">
      <c r="B87" s="51" t="s">
        <v>494</v>
      </c>
      <c r="C87" s="51"/>
      <c r="D87" s="51"/>
      <c r="E87" s="51"/>
      <c r="F87" s="51"/>
      <c r="G87" s="51"/>
      <c r="H87" s="51"/>
      <c r="I87" s="51"/>
      <c r="J87" s="51"/>
      <c r="K87" s="51"/>
      <c r="L87" s="51"/>
      <c r="M87" s="51"/>
      <c r="N87" s="51"/>
      <c r="O87" s="51"/>
      <c r="P87" s="51"/>
    </row>
    <row r="88" spans="2:20" x14ac:dyDescent="0.25">
      <c r="C88" t="s">
        <v>474</v>
      </c>
      <c r="F88" s="65" t="e">
        <f>F54+F71</f>
        <v>#N/A</v>
      </c>
      <c r="G88" s="65">
        <f t="shared" ref="G88:P88" si="37">G54+G71</f>
        <v>34883.943801202186</v>
      </c>
      <c r="H88" s="65">
        <f t="shared" si="37"/>
        <v>43207.765655951443</v>
      </c>
      <c r="I88" s="65">
        <f t="shared" si="37"/>
        <v>52545.372353026789</v>
      </c>
      <c r="J88" s="65">
        <f t="shared" si="37"/>
        <v>62969.659533624268</v>
      </c>
      <c r="K88" s="65">
        <f t="shared" si="37"/>
        <v>74557.679228453577</v>
      </c>
      <c r="L88" s="65">
        <f t="shared" si="37"/>
        <v>87390.848155423329</v>
      </c>
      <c r="M88" s="65">
        <f t="shared" si="37"/>
        <v>101555.16563412023</v>
      </c>
      <c r="N88" s="65">
        <f t="shared" si="37"/>
        <v>117141.44153659929</v>
      </c>
      <c r="O88" s="65" t="e">
        <f t="shared" si="37"/>
        <v>#N/A</v>
      </c>
      <c r="P88" s="65" t="e">
        <f t="shared" si="37"/>
        <v>#N/A</v>
      </c>
    </row>
    <row r="89" spans="2:20" x14ac:dyDescent="0.25">
      <c r="C89" t="s">
        <v>476</v>
      </c>
      <c r="F89" s="65" t="e">
        <f t="shared" ref="F89:P89" si="38">F55+F72</f>
        <v>#N/A</v>
      </c>
      <c r="G89" s="65">
        <f t="shared" si="38"/>
        <v>8185.5971061648588</v>
      </c>
      <c r="H89" s="65">
        <f t="shared" si="38"/>
        <v>9628.5233869822277</v>
      </c>
      <c r="I89" s="65">
        <f t="shared" si="38"/>
        <v>11227.577126320899</v>
      </c>
      <c r="J89" s="65">
        <f t="shared" si="38"/>
        <v>12993.582116310219</v>
      </c>
      <c r="K89" s="65">
        <f t="shared" si="38"/>
        <v>14937.968891379793</v>
      </c>
      <c r="L89" s="65">
        <f t="shared" si="38"/>
        <v>17072.804840815264</v>
      </c>
      <c r="M89" s="65">
        <f t="shared" si="38"/>
        <v>19410.825702881608</v>
      </c>
      <c r="N89" s="65">
        <f>N55+N72</f>
        <v>21965.46850051931</v>
      </c>
      <c r="O89" s="65" t="e">
        <f t="shared" si="38"/>
        <v>#N/A</v>
      </c>
      <c r="P89" s="65" t="e">
        <f t="shared" si="38"/>
        <v>#N/A</v>
      </c>
    </row>
    <row r="90" spans="2:20" x14ac:dyDescent="0.25">
      <c r="C90" t="s">
        <v>473</v>
      </c>
      <c r="F90" s="65" t="e">
        <f t="shared" ref="F90:P90" si="39">F56+F73</f>
        <v>#N/A</v>
      </c>
      <c r="G90" s="65">
        <f t="shared" si="39"/>
        <v>8621.0215447557912</v>
      </c>
      <c r="H90" s="65">
        <f t="shared" si="39"/>
        <v>9513.4328677889316</v>
      </c>
      <c r="I90" s="65">
        <f t="shared" si="39"/>
        <v>10472.277756824078</v>
      </c>
      <c r="J90" s="65">
        <f t="shared" si="39"/>
        <v>11501.474840247118</v>
      </c>
      <c r="K90" s="65">
        <f t="shared" si="39"/>
        <v>12605.144093388333</v>
      </c>
      <c r="L90" s="65">
        <f t="shared" si="39"/>
        <v>13787.616306697908</v>
      </c>
      <c r="M90" s="65">
        <f t="shared" si="39"/>
        <v>15053.442972733961</v>
      </c>
      <c r="N90" s="65">
        <f t="shared" si="39"/>
        <v>16407.406609680576</v>
      </c>
      <c r="O90" s="65" t="e">
        <f t="shared" si="39"/>
        <v>#N/A</v>
      </c>
      <c r="P90" s="65" t="e">
        <f t="shared" si="39"/>
        <v>#N/A</v>
      </c>
    </row>
    <row r="91" spans="2:20" x14ac:dyDescent="0.25">
      <c r="C91" s="14" t="s">
        <v>477</v>
      </c>
      <c r="F91" s="65" t="e">
        <f t="shared" ref="F91:P91" si="40">F57+F74</f>
        <v>#N/A</v>
      </c>
      <c r="G91" s="65">
        <f t="shared" si="40"/>
        <v>327.43693230185687</v>
      </c>
      <c r="H91" s="65">
        <f t="shared" si="40"/>
        <v>381.84786617960066</v>
      </c>
      <c r="I91" s="65">
        <f t="shared" si="40"/>
        <v>440.50334145170439</v>
      </c>
      <c r="J91" s="65">
        <f t="shared" si="40"/>
        <v>503.65441315655221</v>
      </c>
      <c r="K91" s="65">
        <f t="shared" si="40"/>
        <v>571.56498132253034</v>
      </c>
      <c r="L91" s="65">
        <f t="shared" si="40"/>
        <v>644.51239193112008</v>
      </c>
      <c r="M91" s="65">
        <f t="shared" si="40"/>
        <v>722.78806433922114</v>
      </c>
      <c r="N91" s="65">
        <f t="shared" si="40"/>
        <v>806.69814627550079</v>
      </c>
      <c r="O91" s="65" t="e">
        <f t="shared" si="40"/>
        <v>#N/A</v>
      </c>
      <c r="P91" s="65" t="e">
        <f t="shared" si="40"/>
        <v>#N/A</v>
      </c>
    </row>
    <row r="93" spans="2:20" ht="20.25" thickBot="1" x14ac:dyDescent="0.35">
      <c r="B93" s="50" t="s">
        <v>785</v>
      </c>
      <c r="C93" s="50"/>
      <c r="D93" s="50"/>
      <c r="E93" s="50"/>
      <c r="F93" s="50"/>
      <c r="G93" s="50"/>
      <c r="H93" s="50"/>
      <c r="I93" s="50"/>
      <c r="J93" s="50"/>
      <c r="K93" s="50"/>
      <c r="L93" s="50"/>
      <c r="M93" s="50"/>
      <c r="N93" s="50"/>
      <c r="O93" s="50"/>
      <c r="P93" s="50"/>
      <c r="Q93" s="50"/>
      <c r="R93" s="50"/>
      <c r="S93" s="50"/>
      <c r="T93" s="50"/>
    </row>
    <row r="94" spans="2:20" ht="16.5" thickTop="1" thickBot="1" x14ac:dyDescent="0.3">
      <c r="B94" s="51" t="s">
        <v>784</v>
      </c>
      <c r="C94" s="51"/>
      <c r="D94" s="51"/>
      <c r="E94" s="51"/>
      <c r="F94" s="51"/>
      <c r="G94" s="51"/>
      <c r="H94" s="51"/>
      <c r="I94" s="51"/>
      <c r="J94" s="51"/>
      <c r="K94" s="51"/>
      <c r="L94" s="51"/>
      <c r="M94" s="51"/>
      <c r="N94" s="51"/>
      <c r="O94" s="51"/>
      <c r="P94" s="51"/>
    </row>
    <row r="95" spans="2:20" x14ac:dyDescent="0.25">
      <c r="C95" t="s">
        <v>471</v>
      </c>
      <c r="F95" s="90">
        <f>SUM(F77:F85)/F7</f>
        <v>0.28459932213539357</v>
      </c>
      <c r="G95" s="90">
        <f t="shared" ref="G95:P95" si="41">SUM(G77:G85)/G7</f>
        <v>0.30234535746182201</v>
      </c>
      <c r="H95" s="90">
        <f t="shared" si="41"/>
        <v>0.32009067176508399</v>
      </c>
      <c r="I95" s="90">
        <f t="shared" si="41"/>
        <v>0.33783526504517952</v>
      </c>
      <c r="J95" s="90">
        <f t="shared" si="41"/>
        <v>0.35557913730210872</v>
      </c>
      <c r="K95" s="90">
        <f t="shared" si="41"/>
        <v>0.37332228853587152</v>
      </c>
      <c r="L95" s="90">
        <f t="shared" si="41"/>
        <v>0.3910647187464677</v>
      </c>
      <c r="M95" s="90">
        <f t="shared" si="41"/>
        <v>0.40880642793389743</v>
      </c>
      <c r="N95" s="90">
        <f t="shared" si="41"/>
        <v>0.42654741609816071</v>
      </c>
      <c r="O95" s="90" t="e">
        <f t="shared" si="41"/>
        <v>#N/A</v>
      </c>
      <c r="P95" s="90" t="e">
        <f t="shared" si="41"/>
        <v>#N/A</v>
      </c>
    </row>
    <row r="97" spans="2:20" ht="15.75" thickBot="1" x14ac:dyDescent="0.3">
      <c r="B97" s="51" t="s">
        <v>784</v>
      </c>
      <c r="C97" s="51"/>
      <c r="D97" s="51"/>
      <c r="E97" s="51"/>
      <c r="F97" s="91" t="s">
        <v>865</v>
      </c>
      <c r="G97" s="51"/>
      <c r="H97" s="51"/>
      <c r="I97" s="51"/>
      <c r="J97" s="51"/>
      <c r="K97" s="51"/>
      <c r="L97" s="51"/>
      <c r="M97" s="51"/>
      <c r="N97" s="91" t="s">
        <v>866</v>
      </c>
      <c r="O97" s="51"/>
      <c r="P97" s="51"/>
    </row>
    <row r="98" spans="2:20" x14ac:dyDescent="0.25">
      <c r="C98" t="s">
        <v>479</v>
      </c>
      <c r="F98" s="90">
        <f>F77/SUM(F$77:F$85)</f>
        <v>0.21724615485997795</v>
      </c>
      <c r="G98" s="90">
        <f t="shared" ref="G98:P98" si="42">G77/SUM(G$77:G$85)</f>
        <v>0.21634474433553399</v>
      </c>
      <c r="H98" s="90">
        <f t="shared" si="42"/>
        <v>0.21540437186390538</v>
      </c>
      <c r="I98" s="90">
        <f t="shared" si="42"/>
        <v>0.21443117103184087</v>
      </c>
      <c r="J98" s="90">
        <f t="shared" si="42"/>
        <v>0.21343005065548795</v>
      </c>
      <c r="K98" s="90">
        <f t="shared" si="42"/>
        <v>0.21240498595152837</v>
      </c>
      <c r="L98" s="90">
        <f t="shared" si="42"/>
        <v>0.21135923041262089</v>
      </c>
      <c r="M98" s="90">
        <f t="shared" si="42"/>
        <v>0.21029547248730301</v>
      </c>
      <c r="N98" s="90">
        <f t="shared" si="42"/>
        <v>0.20921595314174796</v>
      </c>
      <c r="O98" s="90" t="e">
        <f t="shared" si="42"/>
        <v>#N/A</v>
      </c>
      <c r="P98" s="90" t="e">
        <f t="shared" si="42"/>
        <v>#N/A</v>
      </c>
    </row>
    <row r="99" spans="2:20" x14ac:dyDescent="0.25">
      <c r="C99" t="s">
        <v>478</v>
      </c>
      <c r="F99" s="90">
        <f t="shared" ref="F99:P106" si="43">F78/SUM(F$77:F$85)</f>
        <v>0.30240511881879878</v>
      </c>
      <c r="G99" s="90">
        <f t="shared" si="43"/>
        <v>0.30603595122068206</v>
      </c>
      <c r="H99" s="90">
        <f t="shared" si="43"/>
        <v>0.30958543257519949</v>
      </c>
      <c r="I99" s="90">
        <f t="shared" si="43"/>
        <v>0.31306640487351367</v>
      </c>
      <c r="J99" s="90">
        <f t="shared" si="43"/>
        <v>0.31648914578722159</v>
      </c>
      <c r="K99" s="90">
        <f t="shared" si="43"/>
        <v>0.31986197829748819</v>
      </c>
      <c r="L99" s="90">
        <f t="shared" si="43"/>
        <v>0.3231917143016636</v>
      </c>
      <c r="M99" s="90">
        <f t="shared" si="43"/>
        <v>0.3264839826562142</v>
      </c>
      <c r="N99" s="90">
        <f t="shared" si="43"/>
        <v>0.32974347531743931</v>
      </c>
      <c r="O99" s="90" t="e">
        <f t="shared" si="43"/>
        <v>#N/A</v>
      </c>
      <c r="P99" s="90" t="e">
        <f t="shared" si="43"/>
        <v>#N/A</v>
      </c>
    </row>
    <row r="100" spans="2:20" x14ac:dyDescent="0.25">
      <c r="C100" t="s">
        <v>504</v>
      </c>
      <c r="F100" s="90">
        <f t="shared" si="43"/>
        <v>0.26631790692084878</v>
      </c>
      <c r="G100" s="90">
        <f t="shared" si="43"/>
        <v>0.25143047861825285</v>
      </c>
      <c r="H100" s="90">
        <f t="shared" si="43"/>
        <v>0.2367677173347264</v>
      </c>
      <c r="I100" s="90">
        <f t="shared" si="43"/>
        <v>0.22229412625151385</v>
      </c>
      <c r="J100" s="90">
        <f t="shared" si="43"/>
        <v>0.20798129663728196</v>
      </c>
      <c r="K100" s="90">
        <f t="shared" si="43"/>
        <v>0.19380622275994031</v>
      </c>
      <c r="L100" s="90">
        <f t="shared" si="43"/>
        <v>0.17975007570464213</v>
      </c>
      <c r="M100" s="90">
        <f t="shared" si="43"/>
        <v>0.1657972966237051</v>
      </c>
      <c r="N100" s="90">
        <f t="shared" si="43"/>
        <v>0.15193491637409065</v>
      </c>
      <c r="O100" s="90" t="e">
        <f t="shared" si="43"/>
        <v>#N/A</v>
      </c>
      <c r="P100" s="90" t="e">
        <f t="shared" si="43"/>
        <v>#N/A</v>
      </c>
    </row>
    <row r="101" spans="2:20" x14ac:dyDescent="0.25">
      <c r="C101" t="s">
        <v>508</v>
      </c>
      <c r="F101" s="90">
        <f t="shared" si="43"/>
        <v>3.9767091776570611E-3</v>
      </c>
      <c r="G101" s="90">
        <f t="shared" si="43"/>
        <v>3.7273701948383792E-3</v>
      </c>
      <c r="H101" s="90">
        <f t="shared" si="43"/>
        <v>3.4789275937597451E-3</v>
      </c>
      <c r="I101" s="90">
        <f t="shared" si="43"/>
        <v>3.2312385322411275E-3</v>
      </c>
      <c r="J101" s="90">
        <f t="shared" si="43"/>
        <v>2.9841886910679555E-3</v>
      </c>
      <c r="K101" s="90">
        <f t="shared" si="43"/>
        <v>2.7376854930770177E-3</v>
      </c>
      <c r="L101" s="90">
        <f t="shared" si="43"/>
        <v>2.4916531689132969E-3</v>
      </c>
      <c r="M101" s="90">
        <f t="shared" si="43"/>
        <v>2.2460291082034745E-3</v>
      </c>
      <c r="N101" s="90">
        <f t="shared" si="43"/>
        <v>2.0007611217289847E-3</v>
      </c>
      <c r="O101" s="90" t="e">
        <f t="shared" si="43"/>
        <v>#N/A</v>
      </c>
      <c r="P101" s="90" t="e">
        <f t="shared" si="43"/>
        <v>#N/A</v>
      </c>
    </row>
    <row r="102" spans="2:20" x14ac:dyDescent="0.25">
      <c r="C102" t="s">
        <v>474</v>
      </c>
      <c r="F102" s="90">
        <f t="shared" si="43"/>
        <v>6.1361040919484154E-2</v>
      </c>
      <c r="G102" s="90">
        <f t="shared" si="43"/>
        <v>7.6326948156894989E-2</v>
      </c>
      <c r="H102" s="90">
        <f t="shared" si="43"/>
        <v>9.1239459826595121E-2</v>
      </c>
      <c r="I102" s="90">
        <f t="shared" si="43"/>
        <v>0.1061070854611612</v>
      </c>
      <c r="J102" s="90">
        <f t="shared" si="43"/>
        <v>0.12093663539552491</v>
      </c>
      <c r="K102" s="90">
        <f t="shared" si="43"/>
        <v>0.13573362472613734</v>
      </c>
      <c r="L102" s="90">
        <f t="shared" si="43"/>
        <v>0.15050256725846739</v>
      </c>
      <c r="M102" s="90">
        <f t="shared" si="43"/>
        <v>0.16524719287841805</v>
      </c>
      <c r="N102" s="90">
        <f t="shared" si="43"/>
        <v>0.1799706106527969</v>
      </c>
      <c r="O102" s="90" t="e">
        <f t="shared" si="43"/>
        <v>#N/A</v>
      </c>
      <c r="P102" s="90" t="e">
        <f t="shared" si="43"/>
        <v>#N/A</v>
      </c>
    </row>
    <row r="103" spans="2:20" x14ac:dyDescent="0.25">
      <c r="C103" t="s">
        <v>476</v>
      </c>
      <c r="F103" s="90">
        <f t="shared" si="43"/>
        <v>2.0453680306494675E-2</v>
      </c>
      <c r="G103" s="90">
        <f t="shared" si="43"/>
        <v>2.2861224161822034E-2</v>
      </c>
      <c r="H103" s="90">
        <f t="shared" si="43"/>
        <v>2.5269142143375577E-2</v>
      </c>
      <c r="I103" s="90">
        <f t="shared" si="43"/>
        <v>2.767739071375706E-2</v>
      </c>
      <c r="J103" s="90">
        <f t="shared" si="43"/>
        <v>3.0085935030416504E-2</v>
      </c>
      <c r="K103" s="90">
        <f t="shared" si="43"/>
        <v>3.2494746878580533E-2</v>
      </c>
      <c r="L103" s="90">
        <f t="shared" si="43"/>
        <v>3.4903803167113653E-2</v>
      </c>
      <c r="M103" s="90">
        <f t="shared" si="43"/>
        <v>3.7313084816221975E-2</v>
      </c>
      <c r="N103" s="90">
        <f t="shared" si="43"/>
        <v>3.9722575922862921E-2</v>
      </c>
      <c r="O103" s="90" t="e">
        <f t="shared" si="43"/>
        <v>#N/A</v>
      </c>
      <c r="P103" s="90" t="e">
        <f t="shared" si="43"/>
        <v>#N/A</v>
      </c>
    </row>
    <row r="104" spans="2:20" x14ac:dyDescent="0.25">
      <c r="C104" t="s">
        <v>473</v>
      </c>
      <c r="F104" s="90">
        <f t="shared" si="43"/>
        <v>4.0714639030860908E-2</v>
      </c>
      <c r="G104" s="90">
        <f t="shared" si="43"/>
        <v>4.1843535413735193E-2</v>
      </c>
      <c r="H104" s="90">
        <f t="shared" si="43"/>
        <v>4.296749038361123E-2</v>
      </c>
      <c r="I104" s="90">
        <f t="shared" si="43"/>
        <v>4.4087289802713737E-2</v>
      </c>
      <c r="J104" s="90">
        <f t="shared" si="43"/>
        <v>4.5203562610863703E-2</v>
      </c>
      <c r="K104" s="90">
        <f t="shared" si="43"/>
        <v>4.6316818131464071E-2</v>
      </c>
      <c r="L104" s="90">
        <f t="shared" si="43"/>
        <v>4.742747321781092E-2</v>
      </c>
      <c r="M104" s="90">
        <f t="shared" si="43"/>
        <v>4.8535872327535784E-2</v>
      </c>
      <c r="N104" s="90">
        <f>N83/SUM(N$77:N$85)</f>
        <v>4.96423025850782E-2</v>
      </c>
      <c r="O104" s="90" t="e">
        <f t="shared" si="43"/>
        <v>#N/A</v>
      </c>
      <c r="P104" s="90" t="e">
        <f t="shared" si="43"/>
        <v>#N/A</v>
      </c>
    </row>
    <row r="105" spans="2:20" x14ac:dyDescent="0.25">
      <c r="C105" t="s">
        <v>477</v>
      </c>
      <c r="F105" s="90">
        <f t="shared" si="43"/>
        <v>9.109152704805004E-4</v>
      </c>
      <c r="G105" s="90">
        <f t="shared" si="43"/>
        <v>1.1613050203353459E-3</v>
      </c>
      <c r="H105" s="90">
        <f t="shared" si="43"/>
        <v>1.4156146771239447E-3</v>
      </c>
      <c r="I105" s="90">
        <f t="shared" si="43"/>
        <v>1.6732281717919105E-3</v>
      </c>
      <c r="J105" s="90">
        <f t="shared" si="43"/>
        <v>1.933652453639655E-3</v>
      </c>
      <c r="K105" s="90">
        <f t="shared" si="43"/>
        <v>2.1964882445240455E-3</v>
      </c>
      <c r="L105" s="90">
        <f t="shared" si="43"/>
        <v>2.461408757674483E-3</v>
      </c>
      <c r="M105" s="90">
        <f t="shared" si="43"/>
        <v>2.7281439604571445E-3</v>
      </c>
      <c r="N105" s="90">
        <f>N84/SUM(N$77:N$85)</f>
        <v>2.9964687662421326E-3</v>
      </c>
      <c r="O105" s="90" t="e">
        <f t="shared" si="43"/>
        <v>#N/A</v>
      </c>
      <c r="P105" s="90" t="e">
        <f t="shared" si="43"/>
        <v>#N/A</v>
      </c>
    </row>
    <row r="106" spans="2:20" x14ac:dyDescent="0.25">
      <c r="C106" t="s">
        <v>475</v>
      </c>
      <c r="F106" s="90">
        <f t="shared" si="43"/>
        <v>8.6613834695397324E-2</v>
      </c>
      <c r="G106" s="90">
        <f t="shared" si="43"/>
        <v>8.0268442877905216E-2</v>
      </c>
      <c r="H106" s="90">
        <f t="shared" si="43"/>
        <v>7.3871843601703083E-2</v>
      </c>
      <c r="I106" s="90">
        <f t="shared" si="43"/>
        <v>6.7432065161466673E-2</v>
      </c>
      <c r="J106" s="90">
        <f t="shared" si="43"/>
        <v>6.0955532738495688E-2</v>
      </c>
      <c r="K106" s="90">
        <f t="shared" si="43"/>
        <v>5.4447449517260056E-2</v>
      </c>
      <c r="L106" s="90">
        <f t="shared" si="43"/>
        <v>4.7912074011093563E-2</v>
      </c>
      <c r="M106" s="90">
        <f t="shared" si="43"/>
        <v>4.1352925141941395E-2</v>
      </c>
      <c r="N106" s="90">
        <f>N85/SUM(N$77:N$85)</f>
        <v>3.4772936118013048E-2</v>
      </c>
      <c r="O106" s="90" t="e">
        <f t="shared" si="43"/>
        <v>#N/A</v>
      </c>
      <c r="P106" s="90" t="e">
        <f t="shared" si="43"/>
        <v>#N/A</v>
      </c>
    </row>
    <row r="108" spans="2:20" ht="20.25" thickBot="1" x14ac:dyDescent="0.35">
      <c r="B108" s="50" t="s">
        <v>502</v>
      </c>
      <c r="C108" s="50"/>
      <c r="D108" s="50"/>
      <c r="E108" s="50"/>
      <c r="F108" s="50"/>
      <c r="G108" s="50"/>
      <c r="H108" s="50"/>
      <c r="I108" s="50"/>
      <c r="J108" s="50"/>
      <c r="K108" s="50"/>
      <c r="L108" s="50"/>
      <c r="M108" s="50"/>
      <c r="N108" s="50"/>
      <c r="O108" s="50"/>
      <c r="P108" s="50"/>
      <c r="Q108" s="50"/>
      <c r="R108" s="50"/>
      <c r="S108" s="50"/>
      <c r="T108" s="50"/>
    </row>
    <row r="109" spans="2:20" ht="16.5" thickTop="1" thickBot="1" x14ac:dyDescent="0.3">
      <c r="B109" s="51" t="s">
        <v>503</v>
      </c>
      <c r="C109" s="51"/>
      <c r="D109" s="51"/>
      <c r="E109" s="51"/>
      <c r="F109" s="51"/>
      <c r="G109" s="51"/>
      <c r="H109" s="51"/>
      <c r="I109" s="51"/>
      <c r="J109" s="51"/>
      <c r="K109" s="51"/>
      <c r="L109" s="51"/>
      <c r="M109" s="51"/>
      <c r="N109" s="51"/>
      <c r="O109" s="51"/>
      <c r="P109" s="51"/>
    </row>
    <row r="110" spans="2:20" x14ac:dyDescent="0.25">
      <c r="C110" t="s">
        <v>479</v>
      </c>
      <c r="D110" s="1"/>
      <c r="G110" s="69">
        <f>G77*AVERAGE('Costing inputs'!$F$291:$F$292)*AVERAGE('Costing inputs'!$M$291:$M$292)*(1+$S$110)</f>
        <v>4582491.8516375339</v>
      </c>
      <c r="H110" s="69">
        <f>H77*AVERAGE('Costing inputs'!$F$291:$F$292)*AVERAGE('Costing inputs'!$M$291:$M$292)*(1+$S$110)</f>
        <v>4984932.435988782</v>
      </c>
      <c r="I110" s="69">
        <f>I77*AVERAGE('Costing inputs'!$F$291:$F$292)*AVERAGE('Costing inputs'!$M$291:$M$292)*(1+$S$110)</f>
        <v>5405107.5657200702</v>
      </c>
      <c r="J110" s="69">
        <f>J77*AVERAGE('Costing inputs'!$F$291:$F$292)*AVERAGE('Costing inputs'!$M$291:$M$292)*(1+$S$110)</f>
        <v>5843633.6188057503</v>
      </c>
      <c r="K110" s="69">
        <f>K77*AVERAGE('Costing inputs'!$F$291:$F$292)*AVERAGE('Costing inputs'!$M$291:$M$292)*(1+$S$110)</f>
        <v>6301144.8521553734</v>
      </c>
      <c r="L110" s="69">
        <f>L77*AVERAGE('Costing inputs'!$F$291:$F$292)*AVERAGE('Costing inputs'!$M$291:$M$292)*(1+$S$110)</f>
        <v>6778293.8056039056</v>
      </c>
      <c r="M110" s="69">
        <f>M77*AVERAGE('Costing inputs'!$F$291:$F$292)*AVERAGE('Costing inputs'!$M$291:$M$292)*(1+$S$110)</f>
        <v>7275751.7099584201</v>
      </c>
      <c r="N110" s="69">
        <f>N77*AVERAGE('Costing inputs'!$F$291:$F$292)*AVERAGE('Costing inputs'!$M$291:$M$292)*(1+$S$110)</f>
        <v>7794208.8988354094</v>
      </c>
      <c r="O110" s="69" t="e">
        <f>O77*AVERAGE('Costing inputs'!$F$291:$F$292)*AVERAGE('Costing inputs'!$M$291:$M$292)*(1+$S$110)</f>
        <v>#N/A</v>
      </c>
      <c r="P110" s="69" t="e">
        <f>P77*AVERAGE('Costing inputs'!$F$291:$F$292)*AVERAGE('Costing inputs'!$M$291:$M$292)*(1+$S$110)</f>
        <v>#N/A</v>
      </c>
      <c r="R110" t="s">
        <v>786</v>
      </c>
      <c r="S110" s="92">
        <v>0.05</v>
      </c>
    </row>
    <row r="111" spans="2:20" x14ac:dyDescent="0.25">
      <c r="C111" t="s">
        <v>478</v>
      </c>
      <c r="G111" s="69">
        <f>G78*'Costing inputs'!$F$293*'Costing inputs'!$M$293*(1+$S$110)</f>
        <v>5846088.2448514747</v>
      </c>
      <c r="H111" s="69">
        <f>H78*'Costing inputs'!$F$293*'Costing inputs'!$M$293*(1+$S$110)</f>
        <v>6461343.7514157174</v>
      </c>
      <c r="I111" s="69">
        <f>I78*'Costing inputs'!$F$293*'Costing inputs'!$M$293*(1+$S$110)</f>
        <v>7116893.3324013026</v>
      </c>
      <c r="J111" s="69">
        <f>J78*'Costing inputs'!$F$293*'Costing inputs'!$M$293*(1+$S$110)</f>
        <v>7814906.718656119</v>
      </c>
      <c r="K111" s="69">
        <f>K78*'Costing inputs'!$F$293*'Costing inputs'!$M$293*(1+$S$110)</f>
        <v>8557658.3124852739</v>
      </c>
      <c r="L111" s="69">
        <f>L78*'Costing inputs'!$F$293*'Costing inputs'!$M$293*(1+$S$110)</f>
        <v>9347531.8910540398</v>
      </c>
      <c r="M111" s="69">
        <f>M78*'Costing inputs'!$F$293*'Costing inputs'!$M$293*(1+$S$110)</f>
        <v>10187025.510864537</v>
      </c>
      <c r="N111" s="69">
        <f>N78*'Costing inputs'!$F$293*'Costing inputs'!$M$293*(1+$S$110)</f>
        <v>11078756.621590186</v>
      </c>
      <c r="O111" s="69" t="e">
        <f>O78*'Costing inputs'!$F$293*'Costing inputs'!$M$293*(1+$S$110)</f>
        <v>#N/A</v>
      </c>
      <c r="P111" s="69" t="e">
        <f>P78*'Costing inputs'!$F$293*'Costing inputs'!$M$293*(1+$S$110)</f>
        <v>#N/A</v>
      </c>
    </row>
    <row r="112" spans="2:20" x14ac:dyDescent="0.25">
      <c r="C112" t="s">
        <v>504</v>
      </c>
      <c r="G112" s="69">
        <f>G79*'Costing inputs'!$F$289*'Costing inputs'!$M$289*(1+$S$110)</f>
        <v>5085508.9703414487</v>
      </c>
      <c r="H112" s="69">
        <f>H79*'Costing inputs'!$F$289*'Costing inputs'!$M$289*(1+$S$110)</f>
        <v>5232248.9632856119</v>
      </c>
      <c r="I112" s="69">
        <f>I79*'Costing inputs'!$F$289*'Costing inputs'!$M$289*(1+$S$110)</f>
        <v>5350637.9037323892</v>
      </c>
      <c r="J112" s="69">
        <f>J79*'Costing inputs'!$F$289*'Costing inputs'!$M$289*(1+$S$110)</f>
        <v>5437669.9473416544</v>
      </c>
      <c r="K112" s="69">
        <f>K79*'Costing inputs'!$F$289*'Costing inputs'!$M$289*(1+$S$110)</f>
        <v>5490142.5915259793</v>
      </c>
      <c r="L112" s="69">
        <f>L79*'Costing inputs'!$F$289*'Costing inputs'!$M$289*(1+$S$110)</f>
        <v>5504646.1012054281</v>
      </c>
      <c r="M112" s="69">
        <f>M79*'Costing inputs'!$F$289*'Costing inputs'!$M$289*(1+$S$110)</f>
        <v>5477552.4250734365</v>
      </c>
      <c r="N112" s="69">
        <f>N79*'Costing inputs'!$F$289*'Costing inputs'!$M$289*(1+$S$110)</f>
        <v>5405003.5795028089</v>
      </c>
      <c r="O112" s="69" t="e">
        <f>O79*'Costing inputs'!$F$289*'Costing inputs'!$M$289*(1+$S$110)</f>
        <v>#N/A</v>
      </c>
      <c r="P112" s="69" t="e">
        <f>P79*'Costing inputs'!$F$289*'Costing inputs'!$M$289*(1+$S$110)</f>
        <v>#N/A</v>
      </c>
      <c r="S112" s="93"/>
    </row>
    <row r="113" spans="2:16" x14ac:dyDescent="0.25">
      <c r="C113" t="s">
        <v>508</v>
      </c>
      <c r="G113" s="69">
        <f>G80*'Costing inputs'!$F$290*'Costing inputs'!$M$290*(1+$S$110)</f>
        <v>1256515.2977080795</v>
      </c>
      <c r="H113" s="69">
        <f>H80*'Costing inputs'!$F$290*'Costing inputs'!$M$290*(1+$S$110)</f>
        <v>1281327.2223581541</v>
      </c>
      <c r="I113" s="69">
        <f>I80*'Costing inputs'!$F$290*'Costing inputs'!$M$290*(1+$S$110)</f>
        <v>1296269.6209561715</v>
      </c>
      <c r="J113" s="69">
        <f>J80*'Costing inputs'!$F$290*'Costing inputs'!$M$290*(1+$S$110)</f>
        <v>1300359.9702618849</v>
      </c>
      <c r="K113" s="69">
        <f>K80*'Costing inputs'!$F$290*'Costing inputs'!$M$290*(1+$S$110)</f>
        <v>1292552.5570251616</v>
      </c>
      <c r="L113" s="69">
        <f>L80*'Costing inputs'!$F$290*'Costing inputs'!$M$290*(1+$S$110)</f>
        <v>1271735.1066518</v>
      </c>
      <c r="M113" s="69">
        <f>M80*'Costing inputs'!$F$290*'Costing inputs'!$M$290*(1+$S$110)</f>
        <v>1236725.2501456514</v>
      </c>
      <c r="N113" s="69">
        <f>N80*'Costing inputs'!$F$290*'Costing inputs'!$M$290*(1+$S$110)</f>
        <v>1186266.8220877044</v>
      </c>
      <c r="O113" s="69" t="e">
        <f>O80*'Costing inputs'!$F$290*'Costing inputs'!$M$290*(1+$S$110)</f>
        <v>#N/A</v>
      </c>
      <c r="P113" s="69" t="e">
        <f>P80*'Costing inputs'!$F$290*'Costing inputs'!$M$290*(1+$S$110)</f>
        <v>#N/A</v>
      </c>
    </row>
    <row r="114" spans="2:16" x14ac:dyDescent="0.25">
      <c r="C114" t="s">
        <v>474</v>
      </c>
      <c r="G114" s="69">
        <f>G88*SUMPRODUCT('Costing inputs'!$F$294:$F$296,'Costing inputs'!$O$294:$O$296)*(1+$S$110)</f>
        <v>1676286.872465119</v>
      </c>
      <c r="H114" s="69">
        <f>H88*SUMPRODUCT('Costing inputs'!$F$294:$F$296,'Costing inputs'!$O$294:$O$296)*(1+$S$110)</f>
        <v>2076273.5650068489</v>
      </c>
      <c r="I114" s="69">
        <f>I88*SUMPRODUCT('Costing inputs'!$F$294:$F$296,'Costing inputs'!$O$294:$O$296)*(1+$S$110)</f>
        <v>2524975.9140230846</v>
      </c>
      <c r="J114" s="69">
        <f>J88*SUMPRODUCT('Costing inputs'!$F$294:$F$296,'Costing inputs'!$O$294:$O$296)*(1+$S$110)</f>
        <v>3025896.7919841306</v>
      </c>
      <c r="K114" s="69">
        <f>K88*SUMPRODUCT('Costing inputs'!$F$294:$F$296,'Costing inputs'!$O$294:$O$296)*(1+$S$110)</f>
        <v>3582738.7993846871</v>
      </c>
      <c r="L114" s="69">
        <f>L88*SUMPRODUCT('Costing inputs'!$F$294:$F$296,'Costing inputs'!$O$294:$O$296)*(1+$S$110)</f>
        <v>4199414.2741245963</v>
      </c>
      <c r="M114" s="69">
        <f>M88*SUMPRODUCT('Costing inputs'!$F$294:$F$296,'Costing inputs'!$O$294:$O$296)*(1+$S$110)</f>
        <v>4880055.7630077889</v>
      </c>
      <c r="N114" s="69">
        <f>N88*SUMPRODUCT('Costing inputs'!$F$294:$F$296,'Costing inputs'!$O$294:$O$296)*(1+$S$110)</f>
        <v>5629026.9755185898</v>
      </c>
      <c r="O114" s="69" t="e">
        <f>O88*SUMPRODUCT('Costing inputs'!$F$294:$F$296,'Costing inputs'!$O$294:$O$296)*(1+$S$110)</f>
        <v>#N/A</v>
      </c>
      <c r="P114" s="69" t="e">
        <f>P88*SUMPRODUCT('Costing inputs'!$F$294:$F$296,'Costing inputs'!$O$294:$O$296)*(1+$S$110)</f>
        <v>#N/A</v>
      </c>
    </row>
    <row r="115" spans="2:16" x14ac:dyDescent="0.25">
      <c r="C115" t="s">
        <v>476</v>
      </c>
      <c r="G115" s="69">
        <f>G89*('Costing inputs'!$F$298)*(1+$S$110)</f>
        <v>16244.317457184161</v>
      </c>
      <c r="H115" s="69">
        <f>H89*('Costing inputs'!$F$298)*(1+$S$110)</f>
        <v>19107.804661466231</v>
      </c>
      <c r="I115" s="69">
        <f>I89*('Costing inputs'!$F$298)*(1+$S$110)</f>
        <v>22281.126807183824</v>
      </c>
      <c r="J115" s="69">
        <f>J89*('Costing inputs'!$F$298)*(1+$S$110)</f>
        <v>25785.763709817631</v>
      </c>
      <c r="K115" s="69">
        <f>K89*('Costing inputs'!$F$298)*(1+$S$110)</f>
        <v>29644.3992649432</v>
      </c>
      <c r="L115" s="69">
        <f>L89*('Costing inputs'!$F$298)*(1+$S$110)</f>
        <v>33880.981206597891</v>
      </c>
      <c r="M115" s="69">
        <f>M89*('Costing inputs'!$F$298)*(1+$S$110)</f>
        <v>38520.783607368554</v>
      </c>
      <c r="N115" s="69">
        <f>N89*('Costing inputs'!$F$298)*(1+$S$110)</f>
        <v>43590.472239280571</v>
      </c>
      <c r="O115" s="69" t="e">
        <f>O89*('Costing inputs'!$F$298)*(1+$S$110)</f>
        <v>#N/A</v>
      </c>
      <c r="P115" s="69" t="e">
        <f>P89*('Costing inputs'!$F$298)*(1+$S$110)</f>
        <v>#N/A</v>
      </c>
    </row>
    <row r="116" spans="2:16" x14ac:dyDescent="0.25">
      <c r="C116" t="s">
        <v>473</v>
      </c>
      <c r="G116" s="69">
        <f>G83*0*(1+$S$110)</f>
        <v>0</v>
      </c>
      <c r="H116" s="69">
        <f t="shared" ref="H116:P116" si="44">H83*0*(1+$S$110)</f>
        <v>0</v>
      </c>
      <c r="I116" s="69">
        <f t="shared" si="44"/>
        <v>0</v>
      </c>
      <c r="J116" s="69">
        <f t="shared" si="44"/>
        <v>0</v>
      </c>
      <c r="K116" s="69">
        <f t="shared" si="44"/>
        <v>0</v>
      </c>
      <c r="L116" s="69">
        <f t="shared" si="44"/>
        <v>0</v>
      </c>
      <c r="M116" s="69">
        <f t="shared" si="44"/>
        <v>0</v>
      </c>
      <c r="N116" s="69">
        <f t="shared" si="44"/>
        <v>0</v>
      </c>
      <c r="O116" s="69" t="e">
        <f t="shared" si="44"/>
        <v>#N/A</v>
      </c>
      <c r="P116" s="69" t="e">
        <f t="shared" si="44"/>
        <v>#N/A</v>
      </c>
    </row>
    <row r="117" spans="2:16" x14ac:dyDescent="0.25">
      <c r="C117" t="s">
        <v>477</v>
      </c>
      <c r="G117" s="69">
        <f>G84*0*(1+$S$110)</f>
        <v>0</v>
      </c>
      <c r="H117" s="69">
        <f t="shared" ref="H117:P117" si="45">H84*0*(1+$S$110)</f>
        <v>0</v>
      </c>
      <c r="I117" s="69">
        <f t="shared" si="45"/>
        <v>0</v>
      </c>
      <c r="J117" s="69">
        <f t="shared" si="45"/>
        <v>0</v>
      </c>
      <c r="K117" s="69">
        <f t="shared" si="45"/>
        <v>0</v>
      </c>
      <c r="L117" s="69">
        <f t="shared" si="45"/>
        <v>0</v>
      </c>
      <c r="M117" s="69">
        <f t="shared" si="45"/>
        <v>0</v>
      </c>
      <c r="N117" s="69">
        <f t="shared" si="45"/>
        <v>0</v>
      </c>
      <c r="O117" s="69" t="e">
        <f t="shared" si="45"/>
        <v>#N/A</v>
      </c>
      <c r="P117" s="69" t="e">
        <f t="shared" si="45"/>
        <v>#N/A</v>
      </c>
    </row>
    <row r="118" spans="2:16" x14ac:dyDescent="0.25">
      <c r="C118" t="s">
        <v>475</v>
      </c>
      <c r="G118" s="69">
        <f>G85*0*(1+$S$110)</f>
        <v>0</v>
      </c>
      <c r="H118" s="69">
        <f t="shared" ref="H118:P118" si="46">H85*0*(1+$S$110)</f>
        <v>0</v>
      </c>
      <c r="I118" s="69">
        <f t="shared" si="46"/>
        <v>0</v>
      </c>
      <c r="J118" s="69">
        <f t="shared" si="46"/>
        <v>0</v>
      </c>
      <c r="K118" s="69">
        <f t="shared" si="46"/>
        <v>0</v>
      </c>
      <c r="L118" s="69">
        <f t="shared" si="46"/>
        <v>0</v>
      </c>
      <c r="M118" s="69">
        <f t="shared" si="46"/>
        <v>0</v>
      </c>
      <c r="N118" s="69">
        <f t="shared" si="46"/>
        <v>0</v>
      </c>
      <c r="O118" s="69" t="e">
        <f t="shared" si="46"/>
        <v>#N/A</v>
      </c>
      <c r="P118" s="69" t="e">
        <f t="shared" si="46"/>
        <v>#N/A</v>
      </c>
    </row>
    <row r="120" spans="2:16" x14ac:dyDescent="0.25">
      <c r="C120" t="s">
        <v>505</v>
      </c>
      <c r="G120" s="31">
        <f>SUM(G110:G118)</f>
        <v>18463135.554460838</v>
      </c>
      <c r="H120" s="31">
        <f t="shared" ref="H120:P120" si="47">SUM(H110:H118)</f>
        <v>20055233.742716581</v>
      </c>
      <c r="I120" s="31">
        <f t="shared" si="47"/>
        <v>21716165.463640198</v>
      </c>
      <c r="J120" s="31">
        <f t="shared" si="47"/>
        <v>23448252.810759358</v>
      </c>
      <c r="K120" s="31">
        <f t="shared" si="47"/>
        <v>25253881.511841416</v>
      </c>
      <c r="L120" s="31">
        <f t="shared" si="47"/>
        <v>27135502.159846369</v>
      </c>
      <c r="M120" s="31">
        <f t="shared" si="47"/>
        <v>29095631.442657202</v>
      </c>
      <c r="N120" s="31">
        <f t="shared" si="47"/>
        <v>31136853.36977398</v>
      </c>
      <c r="O120" s="31" t="e">
        <f t="shared" si="47"/>
        <v>#N/A</v>
      </c>
      <c r="P120" s="31" t="e">
        <f t="shared" si="47"/>
        <v>#N/A</v>
      </c>
    </row>
    <row r="121" spans="2:16" x14ac:dyDescent="0.25">
      <c r="H121" s="26"/>
      <c r="I121" s="26"/>
      <c r="J121" s="26"/>
      <c r="K121" s="26"/>
      <c r="L121" s="26"/>
      <c r="M121" s="26"/>
      <c r="N121" s="26"/>
    </row>
    <row r="122" spans="2:16" ht="15.75" thickBot="1" x14ac:dyDescent="0.3">
      <c r="B122" s="51" t="s">
        <v>506</v>
      </c>
      <c r="C122" s="51"/>
      <c r="D122" s="51"/>
      <c r="E122" s="51"/>
      <c r="F122" s="51"/>
      <c r="G122" s="51"/>
      <c r="H122" s="51"/>
      <c r="I122" s="51"/>
      <c r="J122" s="51"/>
      <c r="K122" s="51"/>
      <c r="L122" s="51"/>
      <c r="M122" s="51"/>
      <c r="N122" s="51"/>
      <c r="O122" s="51"/>
      <c r="P122" s="51"/>
    </row>
    <row r="123" spans="2:16" x14ac:dyDescent="0.25">
      <c r="C123" t="s">
        <v>479</v>
      </c>
      <c r="D123" s="1"/>
      <c r="G123" s="69">
        <f>G77*0*(1+$S$110)</f>
        <v>0</v>
      </c>
      <c r="H123" s="69">
        <f t="shared" ref="H123:P123" si="48">H77*0*(1+$S$110)</f>
        <v>0</v>
      </c>
      <c r="I123" s="69">
        <f t="shared" si="48"/>
        <v>0</v>
      </c>
      <c r="J123" s="69">
        <f t="shared" si="48"/>
        <v>0</v>
      </c>
      <c r="K123" s="69">
        <f t="shared" si="48"/>
        <v>0</v>
      </c>
      <c r="L123" s="69">
        <f t="shared" si="48"/>
        <v>0</v>
      </c>
      <c r="M123" s="69">
        <f t="shared" si="48"/>
        <v>0</v>
      </c>
      <c r="N123" s="69">
        <f t="shared" si="48"/>
        <v>0</v>
      </c>
      <c r="O123" s="69" t="e">
        <f t="shared" si="48"/>
        <v>#N/A</v>
      </c>
      <c r="P123" s="69" t="e">
        <f t="shared" si="48"/>
        <v>#N/A</v>
      </c>
    </row>
    <row r="124" spans="2:16" x14ac:dyDescent="0.25">
      <c r="C124" t="s">
        <v>478</v>
      </c>
      <c r="G124" s="69">
        <f>G78*0*(1+$S$110)</f>
        <v>0</v>
      </c>
      <c r="H124" s="69">
        <f t="shared" ref="H124:P124" si="49">H78*0*(1+$S$110)</f>
        <v>0</v>
      </c>
      <c r="I124" s="69">
        <f t="shared" si="49"/>
        <v>0</v>
      </c>
      <c r="J124" s="69">
        <f t="shared" si="49"/>
        <v>0</v>
      </c>
      <c r="K124" s="69">
        <f t="shared" si="49"/>
        <v>0</v>
      </c>
      <c r="L124" s="69">
        <f t="shared" si="49"/>
        <v>0</v>
      </c>
      <c r="M124" s="69">
        <f t="shared" si="49"/>
        <v>0</v>
      </c>
      <c r="N124" s="69">
        <f t="shared" si="49"/>
        <v>0</v>
      </c>
      <c r="O124" s="69" t="e">
        <f t="shared" si="49"/>
        <v>#N/A</v>
      </c>
      <c r="P124" s="69" t="e">
        <f t="shared" si="49"/>
        <v>#N/A</v>
      </c>
    </row>
    <row r="125" spans="2:16" x14ac:dyDescent="0.25">
      <c r="C125" t="s">
        <v>504</v>
      </c>
      <c r="G125" s="69">
        <f>G79*0*(1+$S$110)</f>
        <v>0</v>
      </c>
      <c r="H125" s="69">
        <f t="shared" ref="H125:P125" si="50">H79*0*(1+$S$110)</f>
        <v>0</v>
      </c>
      <c r="I125" s="69">
        <f t="shared" si="50"/>
        <v>0</v>
      </c>
      <c r="J125" s="69">
        <f t="shared" si="50"/>
        <v>0</v>
      </c>
      <c r="K125" s="69">
        <f t="shared" si="50"/>
        <v>0</v>
      </c>
      <c r="L125" s="69">
        <f t="shared" si="50"/>
        <v>0</v>
      </c>
      <c r="M125" s="69">
        <f t="shared" si="50"/>
        <v>0</v>
      </c>
      <c r="N125" s="69">
        <f t="shared" si="50"/>
        <v>0</v>
      </c>
      <c r="O125" s="69" t="e">
        <f t="shared" si="50"/>
        <v>#N/A</v>
      </c>
      <c r="P125" s="69" t="e">
        <f t="shared" si="50"/>
        <v>#N/A</v>
      </c>
    </row>
    <row r="126" spans="2:16" x14ac:dyDescent="0.25">
      <c r="C126" t="s">
        <v>508</v>
      </c>
      <c r="G126" s="69">
        <f>G80*0*(1+$S$110)</f>
        <v>0</v>
      </c>
      <c r="H126" s="69">
        <f t="shared" ref="H126:P126" si="51">H80*0*(1+$S$110)</f>
        <v>0</v>
      </c>
      <c r="I126" s="69">
        <f t="shared" si="51"/>
        <v>0</v>
      </c>
      <c r="J126" s="69">
        <f t="shared" si="51"/>
        <v>0</v>
      </c>
      <c r="K126" s="69">
        <f t="shared" si="51"/>
        <v>0</v>
      </c>
      <c r="L126" s="69">
        <f t="shared" si="51"/>
        <v>0</v>
      </c>
      <c r="M126" s="69">
        <f t="shared" si="51"/>
        <v>0</v>
      </c>
      <c r="N126" s="69">
        <f t="shared" si="51"/>
        <v>0</v>
      </c>
      <c r="O126" s="69" t="e">
        <f t="shared" si="51"/>
        <v>#N/A</v>
      </c>
      <c r="P126" s="69" t="e">
        <f t="shared" si="51"/>
        <v>#N/A</v>
      </c>
    </row>
    <row r="127" spans="2:16" x14ac:dyDescent="0.25">
      <c r="C127" t="s">
        <v>474</v>
      </c>
      <c r="G127" s="69">
        <f>G88*SUMPRODUCT('Costing inputs'!$F$297)*(1+$S$110)</f>
        <v>351447.01281116175</v>
      </c>
      <c r="H127" s="69">
        <f>H88*SUMPRODUCT('Costing inputs'!$F$297)*(1+$S$110)</f>
        <v>435307.43704229686</v>
      </c>
      <c r="I127" s="69">
        <f>I88*SUMPRODUCT('Costing inputs'!$F$297)*(1+$S$110)</f>
        <v>529381.49011365674</v>
      </c>
      <c r="J127" s="69">
        <f>J88*SUMPRODUCT('Costing inputs'!$F$297)*(1+$S$110)</f>
        <v>634403.57738638122</v>
      </c>
      <c r="K127" s="69">
        <f>K88*SUMPRODUCT('Costing inputs'!$F$297)*(1+$S$110)</f>
        <v>751149.97880686272</v>
      </c>
      <c r="L127" s="69">
        <f>L88*SUMPRODUCT('Costing inputs'!$F$297)*(1+$S$110)</f>
        <v>880440.94745385123</v>
      </c>
      <c r="M127" s="69">
        <f>M88*SUMPRODUCT('Costing inputs'!$F$297)*(1+$S$110)</f>
        <v>1023142.9049723529</v>
      </c>
      <c r="N127" s="69">
        <f>N88*SUMPRODUCT('Costing inputs'!$F$297)*(1+$S$110)</f>
        <v>1180170.7381208539</v>
      </c>
      <c r="O127" s="69" t="e">
        <f>O88*SUMPRODUCT('Costing inputs'!$F$297)*(1+$S$110)</f>
        <v>#N/A</v>
      </c>
      <c r="P127" s="69" t="e">
        <f>P88*SUMPRODUCT('Costing inputs'!$F$297)*(1+$S$110)</f>
        <v>#N/A</v>
      </c>
    </row>
    <row r="128" spans="2:16" x14ac:dyDescent="0.25">
      <c r="C128" t="s">
        <v>476</v>
      </c>
      <c r="G128" s="69">
        <f>G89*('Costing inputs'!$F$299)*(1+$S$110)</f>
        <v>20971.499785994372</v>
      </c>
      <c r="H128" s="69">
        <f>H89*('Costing inputs'!$F$299)*(1+$S$110)</f>
        <v>24668.276917448475</v>
      </c>
      <c r="I128" s="69">
        <f>I89*('Costing inputs'!$F$299)*(1+$S$110)</f>
        <v>28765.052597634152</v>
      </c>
      <c r="J128" s="69">
        <f>J89*('Costing inputs'!$F$299)*(1+$S$110)</f>
        <v>33289.557381986786</v>
      </c>
      <c r="K128" s="69">
        <f>K89*('Costing inputs'!$F$299)*(1+$S$110)</f>
        <v>38271.076299715038</v>
      </c>
      <c r="L128" s="69">
        <f>L89*('Costing inputs'!$F$299)*(1+$S$110)</f>
        <v>43740.526002168714</v>
      </c>
      <c r="M128" s="69">
        <f>M89*('Costing inputs'!$F$299)*(1+$S$110)</f>
        <v>49730.535450782692</v>
      </c>
      <c r="N128" s="69">
        <f>N89*('Costing inputs'!$F$299)*(1+$S$110)</f>
        <v>56275.530298330479</v>
      </c>
      <c r="O128" s="69" t="e">
        <f>O89*('Costing inputs'!$F$299)*(1+$S$110)</f>
        <v>#N/A</v>
      </c>
      <c r="P128" s="69" t="e">
        <f>P89*('Costing inputs'!$F$299)*(1+$S$110)</f>
        <v>#N/A</v>
      </c>
    </row>
    <row r="129" spans="2:16" x14ac:dyDescent="0.25">
      <c r="C129" t="s">
        <v>473</v>
      </c>
      <c r="G129" s="69">
        <f>G90*('Costing inputs'!$F$300)*(1+$S$110)</f>
        <v>490758.11720138206</v>
      </c>
      <c r="H129" s="69">
        <f>H90*('Costing inputs'!$F$300)*(1+$S$110)</f>
        <v>541559.30107353581</v>
      </c>
      <c r="I129" s="69">
        <f>I90*('Costing inputs'!$F$300)*(1+$S$110)</f>
        <v>596142.26551552839</v>
      </c>
      <c r="J129" s="69">
        <f>J90*('Costing inputs'!$F$300)*(1+$S$110)</f>
        <v>654730.08138719748</v>
      </c>
      <c r="K129" s="69">
        <f>K90*('Costing inputs'!$F$300)*(1+$S$110)</f>
        <v>717557.28137420095</v>
      </c>
      <c r="L129" s="69">
        <f>L90*('Costing inputs'!$F$300)*(1+$S$110)</f>
        <v>784870.39897100849</v>
      </c>
      <c r="M129" s="69">
        <f>M90*('Costing inputs'!$F$300)*(1+$S$110)</f>
        <v>856928.53130511043</v>
      </c>
      <c r="N129" s="69">
        <f>N90*('Costing inputs'!$F$300)*(1+$S$110)</f>
        <v>934003.9268110242</v>
      </c>
      <c r="O129" s="69" t="e">
        <f>O90*('Costing inputs'!$F$300)*(1+$S$110)</f>
        <v>#N/A</v>
      </c>
      <c r="P129" s="69" t="e">
        <f>P90*('Costing inputs'!$F$300)*(1+$S$110)</f>
        <v>#N/A</v>
      </c>
    </row>
    <row r="130" spans="2:16" x14ac:dyDescent="0.25">
      <c r="C130" t="s">
        <v>477</v>
      </c>
      <c r="G130" s="69">
        <f>G91*('Costing inputs'!$F$301)*(1+$S$110)</f>
        <v>5235.3481809578525</v>
      </c>
      <c r="H130" s="69">
        <f>H91*('Costing inputs'!$F$301)*(1+$S$110)</f>
        <v>6105.3178013623628</v>
      </c>
      <c r="I130" s="69">
        <f>I91*('Costing inputs'!$F$301)*(1+$S$110)</f>
        <v>7043.1528635536206</v>
      </c>
      <c r="J130" s="69">
        <f>J91*('Costing inputs'!$F$301)*(1+$S$110)</f>
        <v>8052.8674551584691</v>
      </c>
      <c r="K130" s="69">
        <f>K91*('Costing inputs'!$F$301)*(1+$S$110)</f>
        <v>9138.6810407432731</v>
      </c>
      <c r="L130" s="69">
        <f>L91*('Costing inputs'!$F$301)*(1+$S$110)</f>
        <v>10305.028070537688</v>
      </c>
      <c r="M130" s="69">
        <f>M91*('Costing inputs'!$F$301)*(1+$S$110)</f>
        <v>11556.568012211766</v>
      </c>
      <c r="N130" s="69">
        <f>N91*('Costing inputs'!$F$301)*(1+$S$110)</f>
        <v>12898.195823530699</v>
      </c>
      <c r="O130" s="69" t="e">
        <f>O91*('Costing inputs'!$F$301)*(1+$S$110)</f>
        <v>#N/A</v>
      </c>
      <c r="P130" s="69" t="e">
        <f>P91*('Costing inputs'!$F$301)*(1+$S$110)</f>
        <v>#N/A</v>
      </c>
    </row>
    <row r="131" spans="2:16" x14ac:dyDescent="0.25">
      <c r="C131" t="s">
        <v>475</v>
      </c>
      <c r="G131" s="69">
        <f>G85*0*(1+$S$110)</f>
        <v>0</v>
      </c>
      <c r="H131" s="69">
        <f t="shared" ref="H131:P131" si="52">H85*0*(1+$S$110)</f>
        <v>0</v>
      </c>
      <c r="I131" s="69">
        <f t="shared" si="52"/>
        <v>0</v>
      </c>
      <c r="J131" s="69">
        <f t="shared" si="52"/>
        <v>0</v>
      </c>
      <c r="K131" s="69">
        <f t="shared" si="52"/>
        <v>0</v>
      </c>
      <c r="L131" s="69">
        <f t="shared" si="52"/>
        <v>0</v>
      </c>
      <c r="M131" s="69">
        <f t="shared" si="52"/>
        <v>0</v>
      </c>
      <c r="N131" s="69">
        <f t="shared" si="52"/>
        <v>0</v>
      </c>
      <c r="O131" s="69" t="e">
        <f t="shared" si="52"/>
        <v>#N/A</v>
      </c>
      <c r="P131" s="69" t="e">
        <f t="shared" si="52"/>
        <v>#N/A</v>
      </c>
    </row>
    <row r="133" spans="2:16" x14ac:dyDescent="0.25">
      <c r="C133" t="s">
        <v>715</v>
      </c>
      <c r="G133" s="31">
        <f t="shared" ref="G133:P133" si="53">SUM(G123:G131)</f>
        <v>868411.977979496</v>
      </c>
      <c r="H133" s="31">
        <f t="shared" si="53"/>
        <v>1007640.3328346435</v>
      </c>
      <c r="I133" s="31">
        <f t="shared" si="53"/>
        <v>1161331.9610903729</v>
      </c>
      <c r="J133" s="31">
        <f t="shared" si="53"/>
        <v>1330476.0836107237</v>
      </c>
      <c r="K133" s="31">
        <f t="shared" si="53"/>
        <v>1516117.017521522</v>
      </c>
      <c r="L133" s="31">
        <f t="shared" si="53"/>
        <v>1719356.9004975662</v>
      </c>
      <c r="M133" s="31">
        <f t="shared" si="53"/>
        <v>1941358.5397404579</v>
      </c>
      <c r="N133" s="31">
        <f t="shared" si="53"/>
        <v>2183348.3910537395</v>
      </c>
      <c r="O133" s="31" t="e">
        <f t="shared" si="53"/>
        <v>#N/A</v>
      </c>
      <c r="P133" s="31" t="e">
        <f t="shared" si="53"/>
        <v>#N/A</v>
      </c>
    </row>
    <row r="135" spans="2:16" ht="15.75" thickBot="1" x14ac:dyDescent="0.3">
      <c r="B135" s="51" t="s">
        <v>506</v>
      </c>
      <c r="C135" s="51"/>
      <c r="D135" s="51"/>
      <c r="E135" s="51"/>
      <c r="F135" s="51"/>
      <c r="G135" s="51"/>
      <c r="H135" s="51"/>
      <c r="I135" s="51"/>
      <c r="J135" s="51"/>
      <c r="K135" s="51"/>
      <c r="L135" s="51"/>
      <c r="M135" s="51"/>
      <c r="N135" s="51"/>
      <c r="O135" s="51"/>
      <c r="P135" s="51"/>
    </row>
    <row r="136" spans="2:16" x14ac:dyDescent="0.25">
      <c r="C136" t="s">
        <v>507</v>
      </c>
      <c r="G136" s="31">
        <f>G120*'Costing inputs'!$F$321</f>
        <v>18463.135554460838</v>
      </c>
      <c r="H136" s="31">
        <f>H120*'Costing inputs'!$F$321</f>
        <v>20055.23374271658</v>
      </c>
      <c r="I136" s="31">
        <f>I120*'Costing inputs'!$F$321</f>
        <v>21716.165463640198</v>
      </c>
      <c r="J136" s="31">
        <f>J120*'Costing inputs'!$F$321</f>
        <v>23448.252810759357</v>
      </c>
      <c r="K136" s="31">
        <f>K120*'Costing inputs'!$F$321</f>
        <v>25253.881511841417</v>
      </c>
      <c r="L136" s="31">
        <f>L120*'Costing inputs'!$F$321</f>
        <v>27135.502159846368</v>
      </c>
      <c r="M136" s="31">
        <f>M120*'Costing inputs'!$F$321</f>
        <v>29095.631442657203</v>
      </c>
      <c r="N136" s="31">
        <f>N120*'Costing inputs'!$F$321</f>
        <v>31136.85336977398</v>
      </c>
      <c r="O136" s="31" t="e">
        <f>O120*'Costing inputs'!$F$321</f>
        <v>#N/A</v>
      </c>
      <c r="P136" s="31" t="e">
        <f>P120*'Costing inputs'!$F$321</f>
        <v>#N/A</v>
      </c>
    </row>
  </sheetData>
  <sheetProtection password="F24F"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7"/>
  <sheetViews>
    <sheetView workbookViewId="0">
      <selection activeCell="E25" sqref="E25"/>
    </sheetView>
  </sheetViews>
  <sheetFormatPr defaultRowHeight="15" x14ac:dyDescent="0.25"/>
  <cols>
    <col min="1" max="1" width="1.42578125" customWidth="1"/>
    <col min="2" max="2" width="41.85546875" customWidth="1"/>
    <col min="3" max="3" width="71.28515625" bestFit="1" customWidth="1"/>
    <col min="4" max="4" width="56.7109375" customWidth="1"/>
  </cols>
  <sheetData>
    <row r="1" spans="2:4" ht="7.5" customHeight="1" x14ac:dyDescent="0.25"/>
    <row r="2" spans="2:4" ht="20.25" thickBot="1" x14ac:dyDescent="0.35">
      <c r="B2" s="50" t="s">
        <v>729</v>
      </c>
      <c r="C2" s="50"/>
      <c r="D2" s="50"/>
    </row>
    <row r="3" spans="2:4" ht="15.75" thickTop="1" x14ac:dyDescent="0.25"/>
    <row r="4" spans="2:4" ht="15.75" thickBot="1" x14ac:dyDescent="0.3">
      <c r="B4" s="51" t="s">
        <v>451</v>
      </c>
      <c r="C4" s="51" t="s">
        <v>708</v>
      </c>
      <c r="D4" s="51" t="s">
        <v>730</v>
      </c>
    </row>
    <row r="5" spans="2:4" ht="15.75" thickBot="1" x14ac:dyDescent="0.3">
      <c r="B5" t="s">
        <v>147</v>
      </c>
      <c r="C5" s="22" t="str">
        <f>'Costing inputs'!C52</f>
        <v>Communications strategy (D.1.1)</v>
      </c>
      <c r="D5" s="3" t="s">
        <v>709</v>
      </c>
    </row>
    <row r="6" spans="2:4" ht="16.5" thickTop="1" thickBot="1" x14ac:dyDescent="0.3">
      <c r="B6" t="s">
        <v>147</v>
      </c>
      <c r="C6" s="22" t="str">
        <f>'Costing inputs'!C57</f>
        <v>Radio and TV (D.1.2)</v>
      </c>
      <c r="D6" s="3" t="s">
        <v>709</v>
      </c>
    </row>
    <row r="7" spans="2:4" ht="16.5" thickTop="1" thickBot="1" x14ac:dyDescent="0.3">
      <c r="B7" t="s">
        <v>147</v>
      </c>
      <c r="C7" s="22" t="str">
        <f>'Costing inputs'!C66</f>
        <v>Radio listening groups (D.1.2)</v>
      </c>
      <c r="D7" s="3" t="s">
        <v>709</v>
      </c>
    </row>
    <row r="8" spans="2:4" ht="16.5" thickTop="1" thickBot="1" x14ac:dyDescent="0.3">
      <c r="B8" t="s">
        <v>147</v>
      </c>
      <c r="C8" s="22" t="str">
        <f>'Costing inputs'!C70</f>
        <v>Advertising and printed materials (D.1.3)</v>
      </c>
      <c r="D8" s="3" t="s">
        <v>709</v>
      </c>
    </row>
    <row r="9" spans="2:4" ht="16.5" thickTop="1" thickBot="1" x14ac:dyDescent="0.3">
      <c r="B9" t="s">
        <v>147</v>
      </c>
      <c r="C9" s="22" t="str">
        <f>'Costing inputs'!C80</f>
        <v>Press (D.1.2)</v>
      </c>
      <c r="D9" s="3" t="s">
        <v>709</v>
      </c>
    </row>
    <row r="10" spans="2:4" ht="16.5" thickTop="1" thickBot="1" x14ac:dyDescent="0.3">
      <c r="B10" t="s">
        <v>147</v>
      </c>
      <c r="C10" s="22" t="str">
        <f>'Costing inputs'!C88</f>
        <v>Telecom and internet (n/a)</v>
      </c>
      <c r="D10" s="3" t="s">
        <v>718</v>
      </c>
    </row>
    <row r="11" spans="2:4" ht="16.5" thickTop="1" thickBot="1" x14ac:dyDescent="0.3">
      <c r="B11" t="s">
        <v>147</v>
      </c>
      <c r="C11" s="22" t="str">
        <f>'Costing inputs'!C95</f>
        <v>In-person health campaigns (D.1.4)</v>
      </c>
      <c r="D11" s="3" t="s">
        <v>709</v>
      </c>
    </row>
    <row r="12" spans="2:4" ht="16.5" thickTop="1" thickBot="1" x14ac:dyDescent="0.3">
      <c r="B12" t="s">
        <v>147</v>
      </c>
      <c r="C12" s="22" t="str">
        <f>'Costing inputs'!C104</f>
        <v>Champions program - train change champions (D.2.1)</v>
      </c>
      <c r="D12" s="3" t="s">
        <v>718</v>
      </c>
    </row>
    <row r="13" spans="2:4" ht="16.5" thickTop="1" thickBot="1" x14ac:dyDescent="0.3">
      <c r="B13" t="s">
        <v>147</v>
      </c>
      <c r="C13" s="22" t="str">
        <f>'Costing inputs'!C108</f>
        <v>Champions program - train FP promoters (D.2.1)</v>
      </c>
      <c r="D13" s="3" t="s">
        <v>718</v>
      </c>
    </row>
    <row r="14" spans="2:4" ht="16.5" thickTop="1" thickBot="1" x14ac:dyDescent="0.3">
      <c r="B14" t="s">
        <v>147</v>
      </c>
      <c r="C14" s="22" t="str">
        <f>'Costing inputs'!C112</f>
        <v>Champions program - ongoing (D.2.1)</v>
      </c>
      <c r="D14" s="3" t="s">
        <v>718</v>
      </c>
    </row>
    <row r="15" spans="2:4" ht="16.5" thickTop="1" thickBot="1" x14ac:dyDescent="0.3">
      <c r="B15" t="s">
        <v>147</v>
      </c>
      <c r="C15" s="22" t="str">
        <f>'Costing inputs'!C115</f>
        <v>Sexual education in schools - curriculum review (n/a)</v>
      </c>
      <c r="D15" s="3" t="s">
        <v>718</v>
      </c>
    </row>
    <row r="16" spans="2:4" ht="16.5" thickTop="1" thickBot="1" x14ac:dyDescent="0.3">
      <c r="B16" t="s">
        <v>147</v>
      </c>
      <c r="C16" s="22" t="str">
        <f>'Costing inputs'!C120</f>
        <v>Training teachers in new curriculum (n/a)</v>
      </c>
      <c r="D16" s="3" t="s">
        <v>718</v>
      </c>
    </row>
    <row r="17" spans="2:4" ht="16.5" thickTop="1" thickBot="1" x14ac:dyDescent="0.3">
      <c r="B17" t="s">
        <v>147</v>
      </c>
      <c r="C17" s="22" t="str">
        <f>'Costing inputs'!C125</f>
        <v>Peer educators/ Youth CBDs (D.3.1)</v>
      </c>
      <c r="D17" s="3" t="s">
        <v>710</v>
      </c>
    </row>
    <row r="18" spans="2:4" ht="16.5" thickTop="1" thickBot="1" x14ac:dyDescent="0.3">
      <c r="B18" t="s">
        <v>147</v>
      </c>
      <c r="C18" s="22" t="str">
        <f>'Costing inputs'!C131</f>
        <v>ASRH/ AIDS clubs (D.3.1)</v>
      </c>
      <c r="D18" s="3" t="s">
        <v>710</v>
      </c>
    </row>
    <row r="19" spans="2:4" ht="16.5" thickTop="1" thickBot="1" x14ac:dyDescent="0.3">
      <c r="B19" t="s">
        <v>147</v>
      </c>
      <c r="C19" s="22" t="str">
        <f>'Costing inputs'!C135</f>
        <v>Training teachers to train existing AIDS clubs (D.3.1)</v>
      </c>
      <c r="D19" s="3" t="s">
        <v>710</v>
      </c>
    </row>
    <row r="20" spans="2:4" ht="16.5" thickTop="1" thickBot="1" x14ac:dyDescent="0.3">
      <c r="B20" t="s">
        <v>147</v>
      </c>
      <c r="C20" s="22" t="str">
        <f>'Costing inputs'!C139</f>
        <v>ASRH/ AIDS clubs guidelines and identification meeting (D3.1)</v>
      </c>
      <c r="D20" s="3" t="s">
        <v>710</v>
      </c>
    </row>
    <row r="21" spans="2:4" ht="16.5" thickTop="1" thickBot="1" x14ac:dyDescent="0.3">
      <c r="B21" t="s">
        <v>147</v>
      </c>
      <c r="C21" s="22" t="str">
        <f>'Costing inputs'!C143</f>
        <v>Advocate with youth developmental organizations (D3.2)</v>
      </c>
      <c r="D21" s="3" t="s">
        <v>710</v>
      </c>
    </row>
    <row r="22" spans="2:4" ht="16.5" thickTop="1" thickBot="1" x14ac:dyDescent="0.3">
      <c r="B22" t="s">
        <v>195</v>
      </c>
      <c r="C22" s="22" t="str">
        <f>'Costing inputs'!C149</f>
        <v>Pre-service training - curriculum review (SDA5.1)</v>
      </c>
      <c r="D22" s="3" t="s">
        <v>711</v>
      </c>
    </row>
    <row r="23" spans="2:4" ht="16.5" thickTop="1" thickBot="1" x14ac:dyDescent="0.3">
      <c r="B23" t="s">
        <v>195</v>
      </c>
      <c r="C23" s="22" t="str">
        <f>'Costing inputs'!C155</f>
        <v>Pre-service training - training of trainers (SDA5.1)</v>
      </c>
      <c r="D23" s="3" t="s">
        <v>711</v>
      </c>
    </row>
    <row r="24" spans="2:4" ht="16.5" thickTop="1" thickBot="1" x14ac:dyDescent="0.3">
      <c r="B24" t="s">
        <v>195</v>
      </c>
      <c r="C24" s="22" t="str">
        <f>'Costing inputs'!C160</f>
        <v>In-service training - training plan development and revision including DFPP plan, and curriculum review (SDA2.1 and SDA2.2, SDA4.3)</v>
      </c>
      <c r="D24" s="3" t="s">
        <v>718</v>
      </c>
    </row>
    <row r="25" spans="2:4" ht="16.5" thickTop="1" thickBot="1" x14ac:dyDescent="0.3">
      <c r="B25" t="s">
        <v>195</v>
      </c>
      <c r="C25" s="22" t="str">
        <f>'Costing inputs'!C166</f>
        <v>In-service training - training of trainers (SDA3.1)</v>
      </c>
      <c r="D25" s="3" t="s">
        <v>711</v>
      </c>
    </row>
    <row r="26" spans="2:4" ht="16.5" thickTop="1" thickBot="1" x14ac:dyDescent="0.3">
      <c r="B26" t="s">
        <v>195</v>
      </c>
      <c r="C26" s="22" t="str">
        <f>'Costing inputs'!C172</f>
        <v>In-service training - Dedicated FP providers (SDA4.3)</v>
      </c>
      <c r="D26" s="3" t="s">
        <v>711</v>
      </c>
    </row>
    <row r="27" spans="2:4" ht="16.5" thickTop="1" thickBot="1" x14ac:dyDescent="0.3">
      <c r="B27" t="s">
        <v>195</v>
      </c>
      <c r="C27" s="22" t="str">
        <f>'Costing inputs'!C177</f>
        <v>In-service training - LARC training (SDA4.1)</v>
      </c>
      <c r="D27" s="3" t="s">
        <v>711</v>
      </c>
    </row>
    <row r="28" spans="2:4" ht="16.5" thickTop="1" thickBot="1" x14ac:dyDescent="0.3">
      <c r="B28" t="s">
        <v>195</v>
      </c>
      <c r="C28" s="22" t="str">
        <f>'Costing inputs'!C183</f>
        <v>Training materials - initial investment (SDA3.4 &amp; 5.1)</v>
      </c>
      <c r="D28" s="3" t="s">
        <v>711</v>
      </c>
    </row>
    <row r="29" spans="2:4" ht="16.5" thickTop="1" thickBot="1" x14ac:dyDescent="0.3">
      <c r="B29" t="s">
        <v>195</v>
      </c>
      <c r="C29" s="22" t="str">
        <f>'Costing inputs'!C187</f>
        <v>Mini clinics pilot (SDA8.2)</v>
      </c>
      <c r="D29" s="3" t="s">
        <v>712</v>
      </c>
    </row>
    <row r="30" spans="2:4" ht="16.5" thickTop="1" thickBot="1" x14ac:dyDescent="0.3">
      <c r="B30" t="s">
        <v>195</v>
      </c>
      <c r="C30" s="22" t="str">
        <f>'Costing inputs'!C192</f>
        <v>Training for CO's and MD's conducting BTLs (SDA.2.3)</v>
      </c>
      <c r="D30" s="3" t="s">
        <v>718</v>
      </c>
    </row>
    <row r="31" spans="2:4" ht="16.5" thickTop="1" thickBot="1" x14ac:dyDescent="0.3">
      <c r="B31" t="s">
        <v>195</v>
      </c>
      <c r="C31" s="22" t="str">
        <f>'Costing inputs'!C198</f>
        <v>Outreach activities and mobile clinics - ongoing costs (SDA6.1 and SDA8.1)</v>
      </c>
      <c r="D31" s="3" t="s">
        <v>712</v>
      </c>
    </row>
    <row r="32" spans="2:4" ht="16.5" thickTop="1" thickBot="1" x14ac:dyDescent="0.3">
      <c r="B32" t="s">
        <v>195</v>
      </c>
      <c r="C32" s="22" t="str">
        <f>'Costing inputs'!C205</f>
        <v>CBD training (SDA7.2 and 7.3 supplemental)</v>
      </c>
      <c r="D32" s="3" t="s">
        <v>712</v>
      </c>
    </row>
    <row r="33" spans="2:4" ht="16.5" thickTop="1" thickBot="1" x14ac:dyDescent="0.3">
      <c r="B33" t="s">
        <v>195</v>
      </c>
      <c r="C33" s="22" t="str">
        <f>'Costing inputs'!C210</f>
        <v>CBD amenities - initial (SDA7.1 and 7.2)</v>
      </c>
      <c r="D33" s="3" t="s">
        <v>712</v>
      </c>
    </row>
    <row r="34" spans="2:4" ht="16.5" thickTop="1" thickBot="1" x14ac:dyDescent="0.3">
      <c r="B34" t="s">
        <v>195</v>
      </c>
      <c r="C34" s="22" t="str">
        <f>'Costing inputs'!C217</f>
        <v>CBD amenities - ongoing (SDA7.1)</v>
      </c>
      <c r="D34" s="3" t="s">
        <v>712</v>
      </c>
    </row>
    <row r="35" spans="2:4" ht="16.5" thickTop="1" thickBot="1" x14ac:dyDescent="0.3">
      <c r="B35" t="s">
        <v>195</v>
      </c>
      <c r="C35" s="22" t="str">
        <f>'Costing inputs'!C223</f>
        <v>FP equipment for all health facilities (SDA10 &amp; SDA.12.1)</v>
      </c>
      <c r="D35" s="3" t="s">
        <v>718</v>
      </c>
    </row>
    <row r="36" spans="2:4" ht="16.5" thickTop="1" thickBot="1" x14ac:dyDescent="0.3">
      <c r="B36" t="s">
        <v>195</v>
      </c>
      <c r="C36" s="22" t="str">
        <f>'Costing inputs'!C238</f>
        <v>In-service training - training of trainers for CBDs (SDA 3.2)</v>
      </c>
      <c r="D36" s="3" t="s">
        <v>711</v>
      </c>
    </row>
    <row r="37" spans="2:4" ht="16.5" thickTop="1" thickBot="1" x14ac:dyDescent="0.3">
      <c r="B37" t="s">
        <v>195</v>
      </c>
      <c r="C37" s="22" t="str">
        <f>'Costing inputs'!C242</f>
        <v>Integration of FP with other health services (SDA11)</v>
      </c>
      <c r="D37" s="3" t="s">
        <v>718</v>
      </c>
    </row>
    <row r="38" spans="2:4" ht="16.5" thickTop="1" thickBot="1" x14ac:dyDescent="0.3">
      <c r="B38" t="s">
        <v>195</v>
      </c>
      <c r="C38" s="22" t="str">
        <f>'Costing inputs'!C244</f>
        <v>HCW registration requirements for LARCs (SDA5.2)</v>
      </c>
      <c r="D38" s="3" t="s">
        <v>711</v>
      </c>
    </row>
    <row r="39" spans="2:4" ht="16.5" thickTop="1" thickBot="1" x14ac:dyDescent="0.3">
      <c r="B39" t="s">
        <v>195</v>
      </c>
      <c r="C39" s="22" t="str">
        <f>'Costing inputs'!C248</f>
        <v>Establish health system capacity (SDA1.1)</v>
      </c>
      <c r="D39" s="3" t="s">
        <v>718</v>
      </c>
    </row>
    <row r="40" spans="2:4" ht="16.5" thickTop="1" thickBot="1" x14ac:dyDescent="0.3">
      <c r="B40" t="s">
        <v>195</v>
      </c>
      <c r="C40" s="22" t="str">
        <f>'Costing inputs'!C262</f>
        <v>On-the-job skills updates (SDA4.2)</v>
      </c>
      <c r="D40" s="3" t="s">
        <v>711</v>
      </c>
    </row>
    <row r="41" spans="2:4" ht="16.5" thickTop="1" thickBot="1" x14ac:dyDescent="0.3">
      <c r="B41" t="s">
        <v>195</v>
      </c>
      <c r="C41" s="22" t="str">
        <f>'Costing inputs'!C265</f>
        <v>Provincial meeting to explain CBD scale-up (SDA7.2)</v>
      </c>
      <c r="D41" s="3" t="s">
        <v>712</v>
      </c>
    </row>
    <row r="42" spans="2:4" ht="16.5" thickTop="1" thickBot="1" x14ac:dyDescent="0.3">
      <c r="B42" t="s">
        <v>195</v>
      </c>
      <c r="C42" s="22" t="str">
        <f>'Costing inputs'!C269</f>
        <v>Explore opportunities for public-private partnerships (SDA8.3)</v>
      </c>
      <c r="D42" s="3" t="s">
        <v>712</v>
      </c>
    </row>
    <row r="43" spans="2:4" ht="16.5" thickTop="1" thickBot="1" x14ac:dyDescent="0.3">
      <c r="B43" t="s">
        <v>195</v>
      </c>
      <c r="C43" s="22" t="str">
        <f>'Costing inputs'!C273</f>
        <v>Revise CHA training curriculum and retrain (SDA9)</v>
      </c>
      <c r="D43" s="3" t="s">
        <v>718</v>
      </c>
    </row>
    <row r="44" spans="2:4" ht="16.5" thickTop="1" thickBot="1" x14ac:dyDescent="0.3">
      <c r="B44" t="s">
        <v>195</v>
      </c>
      <c r="C44" s="22" t="str">
        <f>'Costing inputs'!C282</f>
        <v>SDA 10 - Equiping Health Facilities</v>
      </c>
      <c r="D44" s="3" t="s">
        <v>718</v>
      </c>
    </row>
    <row r="45" spans="2:4" ht="16.5" thickTop="1" thickBot="1" x14ac:dyDescent="0.3">
      <c r="B45" t="s">
        <v>195</v>
      </c>
      <c r="C45" s="22" t="str">
        <f>'Costing inputs'!C284</f>
        <v>Mentorship of CO's and MD's Trained in BTLs (SDA.2.3)</v>
      </c>
      <c r="D45" s="3" t="s">
        <v>718</v>
      </c>
    </row>
    <row r="46" spans="2:4" ht="16.5" thickTop="1" thickBot="1" x14ac:dyDescent="0.3">
      <c r="B46" t="s">
        <v>713</v>
      </c>
      <c r="C46" s="22" t="str">
        <f>'Costing inputs'!C289</f>
        <v>Contraceptives</v>
      </c>
      <c r="D46" s="3" t="s">
        <v>718</v>
      </c>
    </row>
    <row r="47" spans="2:4" ht="16.5" thickTop="1" thickBot="1" x14ac:dyDescent="0.3">
      <c r="B47" t="s">
        <v>713</v>
      </c>
      <c r="C47" s="22" t="str">
        <f>'Costing inputs'!C303</f>
        <v>Consumables</v>
      </c>
      <c r="D47" s="3" t="s">
        <v>718</v>
      </c>
    </row>
    <row r="48" spans="2:4" ht="16.5" thickTop="1" thickBot="1" x14ac:dyDescent="0.3">
      <c r="B48" t="s">
        <v>262</v>
      </c>
      <c r="C48" s="22" t="str">
        <f>'Costing inputs'!C321</f>
        <v>Quality testing (PSC2)</v>
      </c>
      <c r="D48" s="3" t="s">
        <v>718</v>
      </c>
    </row>
    <row r="49" spans="2:4" ht="16.5" thickTop="1" thickBot="1" x14ac:dyDescent="0.3">
      <c r="B49" t="s">
        <v>262</v>
      </c>
      <c r="C49" s="22" t="str">
        <f>'Costing inputs'!C323</f>
        <v>Procurement and forecasting meetings (PSC1.1)</v>
      </c>
      <c r="D49" s="3" t="s">
        <v>718</v>
      </c>
    </row>
    <row r="50" spans="2:4" ht="16.5" thickTop="1" thickBot="1" x14ac:dyDescent="0.3">
      <c r="B50" t="s">
        <v>262</v>
      </c>
      <c r="C50" s="22" t="str">
        <f>'Costing inputs'!C330</f>
        <v>FP logistics training (PSC3.2)</v>
      </c>
      <c r="D50" s="3" t="s">
        <v>718</v>
      </c>
    </row>
    <row r="51" spans="2:4" ht="16.5" thickTop="1" thickBot="1" x14ac:dyDescent="0.3">
      <c r="B51" t="s">
        <v>262</v>
      </c>
      <c r="C51" s="22" t="str">
        <f>'Costing inputs'!C337</f>
        <v>Distribution equipment - initial investment (PSC4.1 and PSC4.2)</v>
      </c>
      <c r="D51" s="3" t="s">
        <v>716</v>
      </c>
    </row>
    <row r="52" spans="2:4" ht="16.5" thickTop="1" thickBot="1" x14ac:dyDescent="0.3">
      <c r="B52" t="s">
        <v>262</v>
      </c>
      <c r="C52" s="22" t="str">
        <f>'Costing inputs'!C340</f>
        <v>Distribution equipment - ongoing costs (n/a)</v>
      </c>
      <c r="D52" s="3" t="s">
        <v>718</v>
      </c>
    </row>
    <row r="53" spans="2:4" ht="16.5" thickTop="1" thickBot="1" x14ac:dyDescent="0.3">
      <c r="B53" t="s">
        <v>262</v>
      </c>
      <c r="C53" s="22" t="str">
        <f>'Costing inputs'!C344</f>
        <v>Storage facilities (n/a)</v>
      </c>
      <c r="D53" s="3" t="s">
        <v>718</v>
      </c>
    </row>
    <row r="54" spans="2:4" ht="16.5" thickTop="1" thickBot="1" x14ac:dyDescent="0.3">
      <c r="B54" t="s">
        <v>262</v>
      </c>
      <c r="C54" s="22" t="str">
        <f>'Costing inputs'!C356</f>
        <v>Meeting to consider prepacking commodities (PSC1.2)</v>
      </c>
      <c r="D54" s="3" t="s">
        <v>718</v>
      </c>
    </row>
    <row r="55" spans="2:4" ht="16.5" thickTop="1" thickBot="1" x14ac:dyDescent="0.3">
      <c r="B55" t="s">
        <v>262</v>
      </c>
      <c r="C55" s="22" t="str">
        <f>'Costing inputs'!C360</f>
        <v>Extra procurement and supply chain 2</v>
      </c>
      <c r="D55" s="3" t="s">
        <v>718</v>
      </c>
    </row>
    <row r="56" spans="2:4" ht="16.5" thickTop="1" thickBot="1" x14ac:dyDescent="0.3">
      <c r="B56" t="s">
        <v>262</v>
      </c>
      <c r="C56" s="22" t="str">
        <f>'Costing inputs'!C362</f>
        <v>Extra procurement and supply chain 3</v>
      </c>
      <c r="D56" s="3" t="s">
        <v>718</v>
      </c>
    </row>
    <row r="57" spans="2:4" ht="16.5" thickTop="1" thickBot="1" x14ac:dyDescent="0.3">
      <c r="B57" t="s">
        <v>263</v>
      </c>
      <c r="C57" s="22" t="str">
        <f>'Costing inputs'!C366</f>
        <v>Review guidelines (PE3)</v>
      </c>
      <c r="D57" s="3" t="s">
        <v>718</v>
      </c>
    </row>
    <row r="58" spans="2:4" ht="16.5" thickTop="1" thickBot="1" x14ac:dyDescent="0.3">
      <c r="B58" t="s">
        <v>263</v>
      </c>
      <c r="C58" s="22" t="str">
        <f>'Costing inputs'!C370</f>
        <v>Policy documents (PE1.1)</v>
      </c>
      <c r="D58" s="3" t="s">
        <v>718</v>
      </c>
    </row>
    <row r="59" spans="2:4" ht="16.5" thickTop="1" thickBot="1" x14ac:dyDescent="0.3">
      <c r="B59" t="s">
        <v>263</v>
      </c>
      <c r="C59" s="22" t="str">
        <f>'Costing inputs'!C372</f>
        <v>International advocacy (n/a)</v>
      </c>
      <c r="D59" s="3" t="s">
        <v>718</v>
      </c>
    </row>
    <row r="60" spans="2:4" ht="16.5" thickTop="1" thickBot="1" x14ac:dyDescent="0.3">
      <c r="B60" t="s">
        <v>263</v>
      </c>
      <c r="C60" s="22" t="str">
        <f>'Costing inputs'!C376</f>
        <v>Consortium of FP advocates -ongoing support (PE2.2)</v>
      </c>
      <c r="D60" s="3" t="s">
        <v>718</v>
      </c>
    </row>
    <row r="61" spans="2:4" ht="16.5" thickTop="1" thickBot="1" x14ac:dyDescent="0.3">
      <c r="B61" t="s">
        <v>263</v>
      </c>
      <c r="C61" s="22" t="str">
        <f>'Costing inputs'!C381</f>
        <v>Consortium of FP advocates - training (PE2.1)</v>
      </c>
      <c r="D61" s="3" t="s">
        <v>718</v>
      </c>
    </row>
    <row r="62" spans="2:4" ht="16.5" thickTop="1" thickBot="1" x14ac:dyDescent="0.3">
      <c r="B62" t="s">
        <v>263</v>
      </c>
      <c r="C62" s="22" t="str">
        <f>'Costing inputs'!C385</f>
        <v>Extra policy and environment 3</v>
      </c>
      <c r="D62" s="3" t="s">
        <v>718</v>
      </c>
    </row>
    <row r="63" spans="2:4" ht="16.5" thickTop="1" thickBot="1" x14ac:dyDescent="0.3">
      <c r="B63" t="s">
        <v>264</v>
      </c>
      <c r="C63" s="22" t="str">
        <f>'Costing inputs'!C389</f>
        <v>Financing advocacy meetings to government (F1.1)</v>
      </c>
      <c r="D63" s="3" t="s">
        <v>718</v>
      </c>
    </row>
    <row r="64" spans="2:4" ht="16.5" thickTop="1" thickBot="1" x14ac:dyDescent="0.3">
      <c r="B64" t="s">
        <v>264</v>
      </c>
      <c r="C64" s="22" t="str">
        <f>'Costing inputs'!C393</f>
        <v>Advocacy strategy and meetings to donors (F1.2)</v>
      </c>
      <c r="D64" s="3" t="s">
        <v>718</v>
      </c>
    </row>
    <row r="65" spans="2:4" ht="16.5" thickTop="1" thickBot="1" x14ac:dyDescent="0.3">
      <c r="B65" t="s">
        <v>264</v>
      </c>
      <c r="C65" s="22" t="str">
        <f>'Costing inputs'!C397</f>
        <v>Extra financing 2</v>
      </c>
      <c r="D65" s="3" t="s">
        <v>718</v>
      </c>
    </row>
    <row r="66" spans="2:4" ht="16.5" thickTop="1" thickBot="1" x14ac:dyDescent="0.3">
      <c r="B66" t="s">
        <v>264</v>
      </c>
      <c r="C66" s="22" t="str">
        <f>'Costing inputs'!C399</f>
        <v>Extra financing 3</v>
      </c>
      <c r="D66" s="3" t="s">
        <v>718</v>
      </c>
    </row>
    <row r="67" spans="2:4" ht="16.5" thickTop="1" thickBot="1" x14ac:dyDescent="0.3">
      <c r="B67" t="s">
        <v>727</v>
      </c>
      <c r="C67" s="22" t="str">
        <f>'Costing inputs'!C403</f>
        <v>Data collection books (n/a)</v>
      </c>
      <c r="D67" s="3" t="s">
        <v>718</v>
      </c>
    </row>
    <row r="68" spans="2:4" ht="16.5" thickTop="1" thickBot="1" x14ac:dyDescent="0.3">
      <c r="B68" t="s">
        <v>727</v>
      </c>
      <c r="C68" s="22" t="str">
        <f>'Costing inputs'!C407</f>
        <v>Patient cards (n/a)</v>
      </c>
      <c r="D68" s="3" t="s">
        <v>718</v>
      </c>
    </row>
    <row r="69" spans="2:4" ht="16.5" thickTop="1" thickBot="1" x14ac:dyDescent="0.3">
      <c r="B69" t="s">
        <v>727</v>
      </c>
      <c r="C69" s="22" t="str">
        <f>'Costing inputs'!C409</f>
        <v>TWG meetings (SMC1.2)</v>
      </c>
      <c r="D69" s="3" t="s">
        <v>717</v>
      </c>
    </row>
    <row r="70" spans="2:4" ht="16.5" thickTop="1" thickBot="1" x14ac:dyDescent="0.3">
      <c r="B70" t="s">
        <v>727</v>
      </c>
      <c r="C70" s="22" t="str">
        <f>'Costing inputs'!C412</f>
        <v>Training in FP supervision (SMC3.1)</v>
      </c>
      <c r="D70" s="3" t="s">
        <v>718</v>
      </c>
    </row>
    <row r="71" spans="2:4" ht="16.5" thickTop="1" thickBot="1" x14ac:dyDescent="0.3">
      <c r="B71" t="s">
        <v>727</v>
      </c>
      <c r="C71" s="22" t="str">
        <f>'Costing inputs'!C417</f>
        <v>Supervision and quality assurance (SMC3.2)</v>
      </c>
      <c r="D71" s="3" t="s">
        <v>718</v>
      </c>
    </row>
    <row r="72" spans="2:4" ht="16.5" thickTop="1" thickBot="1" x14ac:dyDescent="0.3">
      <c r="B72" t="s">
        <v>727</v>
      </c>
      <c r="C72" s="22" t="str">
        <f>'Costing inputs'!C433</f>
        <v>Supervision/ review meetings (SMC 4.3)</v>
      </c>
      <c r="D72" s="3" t="s">
        <v>717</v>
      </c>
    </row>
    <row r="73" spans="2:4" ht="16.5" thickTop="1" thickBot="1" x14ac:dyDescent="0.3">
      <c r="B73" t="s">
        <v>727</v>
      </c>
      <c r="C73" s="22" t="str">
        <f>'Costing inputs'!C443</f>
        <v>Surveys/ investigations (n/a)</v>
      </c>
      <c r="D73" s="3" t="s">
        <v>718</v>
      </c>
    </row>
    <row r="74" spans="2:4" ht="16.5" thickTop="1" thickBot="1" x14ac:dyDescent="0.3">
      <c r="B74" t="s">
        <v>727</v>
      </c>
      <c r="C74" s="22" t="str">
        <f>'Costing inputs'!C468</f>
        <v>Plan review - midway (SMC4.1)</v>
      </c>
      <c r="D74" s="3" t="s">
        <v>717</v>
      </c>
    </row>
    <row r="75" spans="2:4" ht="16.5" thickTop="1" thickBot="1" x14ac:dyDescent="0.3">
      <c r="B75" t="s">
        <v>727</v>
      </c>
      <c r="C75" s="22" t="str">
        <f>'Costing inputs'!C472</f>
        <v>Plan review - against DHS results (SMC4.2)</v>
      </c>
      <c r="D75" s="3" t="s">
        <v>717</v>
      </c>
    </row>
    <row r="76" spans="2:4" ht="16.5" thickTop="1" thickBot="1" x14ac:dyDescent="0.3">
      <c r="B76" t="s">
        <v>727</v>
      </c>
      <c r="C76" s="22" t="str">
        <f>'Costing inputs'!C476</f>
        <v>New FP division resources (SMC1.1, includes RH Logistics described in PSC4.3)</v>
      </c>
      <c r="D76" s="3" t="s">
        <v>717</v>
      </c>
    </row>
    <row r="77" spans="2:4" ht="16.5" thickTop="1" thickBot="1" x14ac:dyDescent="0.3">
      <c r="B77" t="s">
        <v>727</v>
      </c>
      <c r="C77" s="22" t="str">
        <f>'Costing inputs'!C483</f>
        <v>FP division equipment - initial investment (SMC1.1)</v>
      </c>
      <c r="D77" s="3" t="s">
        <v>717</v>
      </c>
    </row>
    <row r="78" spans="2:4" ht="16.5" thickTop="1" thickBot="1" x14ac:dyDescent="0.3">
      <c r="B78" t="s">
        <v>727</v>
      </c>
      <c r="C78" s="22" t="str">
        <f>'Costing inputs'!C493</f>
        <v>FP division equipment - renewal or scaling up (SMC1.1)</v>
      </c>
      <c r="D78" s="3" t="s">
        <v>717</v>
      </c>
    </row>
    <row r="79" spans="2:4" ht="16.5" thickTop="1" thickBot="1" x14ac:dyDescent="0.3">
      <c r="B79" t="s">
        <v>727</v>
      </c>
      <c r="C79" s="22" t="str">
        <f>'Costing inputs'!C496</f>
        <v>FP division equipment - ongoing (SMC1.1)</v>
      </c>
      <c r="D79" s="3" t="s">
        <v>718</v>
      </c>
    </row>
    <row r="80" spans="2:4" ht="16.5" thickTop="1" thickBot="1" x14ac:dyDescent="0.3">
      <c r="B80" t="s">
        <v>727</v>
      </c>
      <c r="C80" s="22" t="str">
        <f>'Costing inputs'!C501</f>
        <v>Train provincial focal points (SMC1.3)</v>
      </c>
      <c r="D80" s="3" t="s">
        <v>717</v>
      </c>
    </row>
    <row r="81" spans="2:4" ht="16.5" thickTop="1" thickBot="1" x14ac:dyDescent="0.3">
      <c r="B81" t="s">
        <v>727</v>
      </c>
      <c r="C81" s="22" t="str">
        <f>'Costing inputs'!C505</f>
        <v>Hire district focal points (SMC1.3)</v>
      </c>
      <c r="D81" s="3" t="s">
        <v>717</v>
      </c>
    </row>
    <row r="82" spans="2:4" ht="16.5" thickTop="1" thickBot="1" x14ac:dyDescent="0.3">
      <c r="B82" t="s">
        <v>727</v>
      </c>
      <c r="C82" s="22" t="str">
        <f>'Costing inputs'!C507</f>
        <v>Approve provincial objectives (SMC1.3)</v>
      </c>
      <c r="D82" s="3" t="s">
        <v>717</v>
      </c>
    </row>
    <row r="83" spans="2:4" ht="16.5" thickTop="1" thickBot="1" x14ac:dyDescent="0.3">
      <c r="B83" t="s">
        <v>727</v>
      </c>
      <c r="C83" s="22" t="str">
        <f>'Costing inputs'!C511</f>
        <v>Print FP plan and brochures (SMC1.3)</v>
      </c>
      <c r="D83" s="3" t="s">
        <v>717</v>
      </c>
    </row>
    <row r="84" spans="2:4" ht="16.5" thickTop="1" thickBot="1" x14ac:dyDescent="0.3">
      <c r="B84" t="s">
        <v>727</v>
      </c>
      <c r="C84" s="22" t="str">
        <f>'Costing inputs'!C514</f>
        <v>Develop pilot for mobile phone data collection (SMC2.1)</v>
      </c>
      <c r="D84" s="3" t="s">
        <v>718</v>
      </c>
    </row>
    <row r="85" spans="2:4" ht="16.5" thickTop="1" thickBot="1" x14ac:dyDescent="0.3">
      <c r="B85" t="s">
        <v>727</v>
      </c>
      <c r="C85" s="22" t="str">
        <f>'Costing inputs'!C516</f>
        <v>Train district focal points (SMC1.3)</v>
      </c>
      <c r="D85" s="3" t="s">
        <v>717</v>
      </c>
    </row>
    <row r="86" spans="2:4" ht="16.5" thickTop="1" thickBot="1" x14ac:dyDescent="0.3">
      <c r="B86" t="s">
        <v>727</v>
      </c>
      <c r="C86" s="22" t="str">
        <f>'Costing inputs'!C520</f>
        <v>Extra Supervision monitoring and coordination 2</v>
      </c>
      <c r="D86" s="3" t="s">
        <v>718</v>
      </c>
    </row>
    <row r="87" spans="2:4" ht="15.75" thickTop="1" x14ac:dyDescent="0.25"/>
  </sheetData>
  <sheetProtection password="F24F"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315"/>
  <sheetViews>
    <sheetView workbookViewId="0">
      <selection activeCell="C417" sqref="C417"/>
    </sheetView>
  </sheetViews>
  <sheetFormatPr defaultRowHeight="15" x14ac:dyDescent="0.25"/>
  <cols>
    <col min="1" max="1" width="1.42578125" customWidth="1"/>
    <col min="3" max="3" width="46.140625" customWidth="1"/>
    <col min="4" max="4" width="13.7109375" customWidth="1"/>
    <col min="6" max="15" width="11.85546875" customWidth="1"/>
    <col min="16" max="16" width="9.140625" customWidth="1"/>
    <col min="18" max="18" width="11" bestFit="1" customWidth="1"/>
  </cols>
  <sheetData>
    <row r="1" spans="2:27" ht="7.5" customHeight="1" x14ac:dyDescent="0.25"/>
    <row r="2" spans="2:27" ht="15.75" thickBot="1" x14ac:dyDescent="0.3">
      <c r="B2" s="51" t="s">
        <v>451</v>
      </c>
      <c r="C2" s="51" t="s">
        <v>449</v>
      </c>
      <c r="D2" s="51" t="s">
        <v>174</v>
      </c>
      <c r="E2" s="51" t="s">
        <v>453</v>
      </c>
      <c r="F2" s="51">
        <f>'Costing inputs'!AP$3</f>
        <v>2013</v>
      </c>
      <c r="G2" s="51">
        <f>'Costing inputs'!AQ$3</f>
        <v>2014</v>
      </c>
      <c r="H2" s="51">
        <f>'Costing inputs'!AR$3</f>
        <v>2015</v>
      </c>
      <c r="I2" s="51">
        <f>'Costing inputs'!AS$3</f>
        <v>2016</v>
      </c>
      <c r="J2" s="51">
        <f>'Costing inputs'!AT$3</f>
        <v>2017</v>
      </c>
      <c r="K2" s="51">
        <f>'Costing inputs'!AU$3</f>
        <v>2018</v>
      </c>
      <c r="L2" s="51">
        <f>'Costing inputs'!AV$3</f>
        <v>2019</v>
      </c>
      <c r="M2" s="51">
        <f>'Costing inputs'!AW$3</f>
        <v>2020</v>
      </c>
      <c r="N2" s="51">
        <f>'Costing inputs'!AX$3</f>
        <v>2021</v>
      </c>
      <c r="O2" s="51">
        <f>'Costing inputs'!AY$3</f>
        <v>2022</v>
      </c>
      <c r="P2" s="51" t="s">
        <v>452</v>
      </c>
      <c r="Q2" s="51" t="str">
        <f t="shared" ref="Q2:Z2" si="0">CONCATENATE(F2," sum")</f>
        <v>2013 sum</v>
      </c>
      <c r="R2" s="51" t="str">
        <f t="shared" si="0"/>
        <v>2014 sum</v>
      </c>
      <c r="S2" s="51" t="str">
        <f t="shared" si="0"/>
        <v>2015 sum</v>
      </c>
      <c r="T2" s="51" t="str">
        <f t="shared" si="0"/>
        <v>2016 sum</v>
      </c>
      <c r="U2" s="51" t="str">
        <f t="shared" si="0"/>
        <v>2017 sum</v>
      </c>
      <c r="V2" s="51" t="str">
        <f t="shared" si="0"/>
        <v>2018 sum</v>
      </c>
      <c r="W2" s="51" t="str">
        <f t="shared" si="0"/>
        <v>2019 sum</v>
      </c>
      <c r="X2" s="51" t="str">
        <f t="shared" si="0"/>
        <v>2020 sum</v>
      </c>
      <c r="Y2" s="51" t="str">
        <f t="shared" si="0"/>
        <v>2021 sum</v>
      </c>
      <c r="Z2" s="51" t="str">
        <f t="shared" si="0"/>
        <v>2022 sum</v>
      </c>
      <c r="AA2" s="51" t="s">
        <v>707</v>
      </c>
    </row>
    <row r="3" spans="2:27" ht="15.75" thickBot="1" x14ac:dyDescent="0.3">
      <c r="B3" t="s">
        <v>147</v>
      </c>
      <c r="C3" s="22" t="str">
        <f>'Costing inputs'!$C$52</f>
        <v>Communications strategy (D.1.1)</v>
      </c>
      <c r="D3" s="22" t="str">
        <f>'Costing inputs'!$U$52</f>
        <v>Central level</v>
      </c>
      <c r="E3" s="22" t="str">
        <f>'Regional splits'!$C$14</f>
        <v>Central</v>
      </c>
      <c r="F3">
        <f t="array" ref="F3:O18">'Costing inputs'!S52*'Costing inputs'!AP52:AY52*TRANSPOSE('Costing inputs'!W52:AL52)</f>
        <v>0</v>
      </c>
      <c r="G3">
        <v>0</v>
      </c>
      <c r="H3">
        <v>0</v>
      </c>
      <c r="I3">
        <v>0</v>
      </c>
      <c r="J3">
        <v>0</v>
      </c>
      <c r="K3">
        <v>0</v>
      </c>
      <c r="L3">
        <v>0</v>
      </c>
      <c r="M3">
        <v>0</v>
      </c>
      <c r="N3">
        <v>0</v>
      </c>
      <c r="O3">
        <v>0</v>
      </c>
      <c r="P3" s="5">
        <f>SUMIF(F3:O3,"&lt;&gt;#N/A")</f>
        <v>0</v>
      </c>
      <c r="Q3">
        <f>IF(ISNA(F3),0,F3)</f>
        <v>0</v>
      </c>
      <c r="R3">
        <f t="shared" ref="R3:Z3" si="1">IF(ISNA(G3),0,G3)</f>
        <v>0</v>
      </c>
      <c r="S3">
        <f t="shared" si="1"/>
        <v>0</v>
      </c>
      <c r="T3">
        <f t="shared" si="1"/>
        <v>0</v>
      </c>
      <c r="U3">
        <f t="shared" si="1"/>
        <v>0</v>
      </c>
      <c r="V3">
        <f t="shared" si="1"/>
        <v>0</v>
      </c>
      <c r="W3">
        <f t="shared" si="1"/>
        <v>0</v>
      </c>
      <c r="X3">
        <f t="shared" si="1"/>
        <v>0</v>
      </c>
      <c r="Y3">
        <f t="shared" si="1"/>
        <v>0</v>
      </c>
      <c r="Z3">
        <f t="shared" si="1"/>
        <v>0</v>
      </c>
      <c r="AA3" t="str">
        <f>INDEX('Priority activities'!$D$5:$D$86,MATCH('Database for analysis'!C3,'Priority activities'!$C$5:$C$86,0))</f>
        <v>FP demand generation and behaviour change communication</v>
      </c>
    </row>
    <row r="4" spans="2:27" ht="16.5" thickTop="1" thickBot="1" x14ac:dyDescent="0.3">
      <c r="B4" t="s">
        <v>147</v>
      </c>
      <c r="C4" s="22" t="str">
        <f>'Costing inputs'!$C$52</f>
        <v>Communications strategy (D.1.1)</v>
      </c>
      <c r="D4" s="22" t="str">
        <f>'Costing inputs'!$U$52</f>
        <v>Central level</v>
      </c>
      <c r="E4" s="22" t="str">
        <f>'Regional splits'!$D$14</f>
        <v>Copperbelt</v>
      </c>
      <c r="F4">
        <v>0</v>
      </c>
      <c r="G4">
        <v>0</v>
      </c>
      <c r="H4">
        <v>0</v>
      </c>
      <c r="I4">
        <v>0</v>
      </c>
      <c r="J4">
        <v>0</v>
      </c>
      <c r="K4">
        <v>0</v>
      </c>
      <c r="L4">
        <v>0</v>
      </c>
      <c r="M4">
        <v>0</v>
      </c>
      <c r="N4">
        <v>0</v>
      </c>
      <c r="O4">
        <v>0</v>
      </c>
      <c r="P4" s="5">
        <f t="shared" ref="P4:P67" si="2">SUMIF(F4:O4,"&lt;&gt;#N/A")</f>
        <v>0</v>
      </c>
      <c r="Q4">
        <f t="shared" ref="Q4:Q67" si="3">IF(ISNA(F4),0,F4)</f>
        <v>0</v>
      </c>
      <c r="R4">
        <f t="shared" ref="R4:R67" si="4">IF(ISNA(G4),0,G4)</f>
        <v>0</v>
      </c>
      <c r="S4">
        <f t="shared" ref="S4:S67" si="5">IF(ISNA(H4),0,H4)</f>
        <v>0</v>
      </c>
      <c r="T4">
        <f t="shared" ref="T4:T67" si="6">IF(ISNA(I4),0,I4)</f>
        <v>0</v>
      </c>
      <c r="U4">
        <f t="shared" ref="U4:U67" si="7">IF(ISNA(J4),0,J4)</f>
        <v>0</v>
      </c>
      <c r="V4">
        <f t="shared" ref="V4:V67" si="8">IF(ISNA(K4),0,K4)</f>
        <v>0</v>
      </c>
      <c r="W4">
        <f t="shared" ref="W4:W67" si="9">IF(ISNA(L4),0,L4)</f>
        <v>0</v>
      </c>
      <c r="X4">
        <f t="shared" ref="X4:X67" si="10">IF(ISNA(M4),0,M4)</f>
        <v>0</v>
      </c>
      <c r="Y4">
        <f t="shared" ref="Y4:Y67" si="11">IF(ISNA(N4),0,N4)</f>
        <v>0</v>
      </c>
      <c r="Z4">
        <f t="shared" ref="Z4:Z67" si="12">IF(ISNA(O4),0,O4)</f>
        <v>0</v>
      </c>
      <c r="AA4" t="str">
        <f>INDEX('Priority activities'!$D$5:$D$86,MATCH('Database for analysis'!C4,'Priority activities'!$C$5:$C$86,0))</f>
        <v>FP demand generation and behaviour change communication</v>
      </c>
    </row>
    <row r="5" spans="2:27" ht="16.5" thickTop="1" thickBot="1" x14ac:dyDescent="0.3">
      <c r="B5" t="s">
        <v>147</v>
      </c>
      <c r="C5" s="22" t="str">
        <f>'Costing inputs'!$C$52</f>
        <v>Communications strategy (D.1.1)</v>
      </c>
      <c r="D5" s="22" t="str">
        <f>'Costing inputs'!$U$52</f>
        <v>Central level</v>
      </c>
      <c r="E5" s="22" t="str">
        <f>'Regional splits'!$E$14</f>
        <v>Eastern</v>
      </c>
      <c r="F5">
        <v>0</v>
      </c>
      <c r="G5">
        <v>0</v>
      </c>
      <c r="H5">
        <v>0</v>
      </c>
      <c r="I5">
        <v>0</v>
      </c>
      <c r="J5">
        <v>0</v>
      </c>
      <c r="K5">
        <v>0</v>
      </c>
      <c r="L5">
        <v>0</v>
      </c>
      <c r="M5">
        <v>0</v>
      </c>
      <c r="N5">
        <v>0</v>
      </c>
      <c r="O5">
        <v>0</v>
      </c>
      <c r="P5" s="5">
        <f t="shared" si="2"/>
        <v>0</v>
      </c>
      <c r="Q5">
        <f t="shared" si="3"/>
        <v>0</v>
      </c>
      <c r="R5">
        <f t="shared" si="4"/>
        <v>0</v>
      </c>
      <c r="S5">
        <f t="shared" si="5"/>
        <v>0</v>
      </c>
      <c r="T5">
        <f t="shared" si="6"/>
        <v>0</v>
      </c>
      <c r="U5">
        <f t="shared" si="7"/>
        <v>0</v>
      </c>
      <c r="V5">
        <f t="shared" si="8"/>
        <v>0</v>
      </c>
      <c r="W5">
        <f t="shared" si="9"/>
        <v>0</v>
      </c>
      <c r="X5">
        <f t="shared" si="10"/>
        <v>0</v>
      </c>
      <c r="Y5">
        <f t="shared" si="11"/>
        <v>0</v>
      </c>
      <c r="Z5">
        <f t="shared" si="12"/>
        <v>0</v>
      </c>
      <c r="AA5" t="str">
        <f>INDEX('Priority activities'!$D$5:$D$86,MATCH('Database for analysis'!C5,'Priority activities'!$C$5:$C$86,0))</f>
        <v>FP demand generation and behaviour change communication</v>
      </c>
    </row>
    <row r="6" spans="2:27" ht="16.5" thickTop="1" thickBot="1" x14ac:dyDescent="0.3">
      <c r="B6" t="s">
        <v>147</v>
      </c>
      <c r="C6" s="22" t="str">
        <f>'Costing inputs'!$C$52</f>
        <v>Communications strategy (D.1.1)</v>
      </c>
      <c r="D6" s="22" t="str">
        <f>'Costing inputs'!$U$52</f>
        <v>Central level</v>
      </c>
      <c r="E6" s="22" t="str">
        <f>'Regional splits'!$F$14</f>
        <v>Luapula</v>
      </c>
      <c r="F6">
        <v>0</v>
      </c>
      <c r="G6">
        <v>0</v>
      </c>
      <c r="H6">
        <v>0</v>
      </c>
      <c r="I6">
        <v>0</v>
      </c>
      <c r="J6">
        <v>0</v>
      </c>
      <c r="K6">
        <v>0</v>
      </c>
      <c r="L6">
        <v>0</v>
      </c>
      <c r="M6">
        <v>0</v>
      </c>
      <c r="N6">
        <v>0</v>
      </c>
      <c r="O6">
        <v>0</v>
      </c>
      <c r="P6" s="5">
        <f t="shared" si="2"/>
        <v>0</v>
      </c>
      <c r="Q6">
        <f t="shared" si="3"/>
        <v>0</v>
      </c>
      <c r="R6">
        <f t="shared" si="4"/>
        <v>0</v>
      </c>
      <c r="S6">
        <f t="shared" si="5"/>
        <v>0</v>
      </c>
      <c r="T6">
        <f t="shared" si="6"/>
        <v>0</v>
      </c>
      <c r="U6">
        <f t="shared" si="7"/>
        <v>0</v>
      </c>
      <c r="V6">
        <f t="shared" si="8"/>
        <v>0</v>
      </c>
      <c r="W6">
        <f t="shared" si="9"/>
        <v>0</v>
      </c>
      <c r="X6">
        <f t="shared" si="10"/>
        <v>0</v>
      </c>
      <c r="Y6">
        <f t="shared" si="11"/>
        <v>0</v>
      </c>
      <c r="Z6">
        <f t="shared" si="12"/>
        <v>0</v>
      </c>
      <c r="AA6" t="str">
        <f>INDEX('Priority activities'!$D$5:$D$86,MATCH('Database for analysis'!C6,'Priority activities'!$C$5:$C$86,0))</f>
        <v>FP demand generation and behaviour change communication</v>
      </c>
    </row>
    <row r="7" spans="2:27" ht="16.5" thickTop="1" thickBot="1" x14ac:dyDescent="0.3">
      <c r="B7" t="s">
        <v>147</v>
      </c>
      <c r="C7" s="22" t="str">
        <f>'Costing inputs'!$C$52</f>
        <v>Communications strategy (D.1.1)</v>
      </c>
      <c r="D7" s="22" t="str">
        <f>'Costing inputs'!$U$52</f>
        <v>Central level</v>
      </c>
      <c r="E7" s="22" t="str">
        <f>'Regional splits'!$G$14</f>
        <v>Lusaka</v>
      </c>
      <c r="F7">
        <v>0</v>
      </c>
      <c r="G7">
        <v>0</v>
      </c>
      <c r="H7">
        <v>0</v>
      </c>
      <c r="I7">
        <v>0</v>
      </c>
      <c r="J7">
        <v>0</v>
      </c>
      <c r="K7">
        <v>0</v>
      </c>
      <c r="L7">
        <v>0</v>
      </c>
      <c r="M7">
        <v>0</v>
      </c>
      <c r="N7">
        <v>0</v>
      </c>
      <c r="O7">
        <v>0</v>
      </c>
      <c r="P7" s="5">
        <f t="shared" si="2"/>
        <v>0</v>
      </c>
      <c r="Q7">
        <f t="shared" si="3"/>
        <v>0</v>
      </c>
      <c r="R7">
        <f t="shared" si="4"/>
        <v>0</v>
      </c>
      <c r="S7">
        <f t="shared" si="5"/>
        <v>0</v>
      </c>
      <c r="T7">
        <f t="shared" si="6"/>
        <v>0</v>
      </c>
      <c r="U7">
        <f t="shared" si="7"/>
        <v>0</v>
      </c>
      <c r="V7">
        <f t="shared" si="8"/>
        <v>0</v>
      </c>
      <c r="W7">
        <f t="shared" si="9"/>
        <v>0</v>
      </c>
      <c r="X7">
        <f t="shared" si="10"/>
        <v>0</v>
      </c>
      <c r="Y7">
        <f t="shared" si="11"/>
        <v>0</v>
      </c>
      <c r="Z7">
        <f t="shared" si="12"/>
        <v>0</v>
      </c>
      <c r="AA7" t="str">
        <f>INDEX('Priority activities'!$D$5:$D$86,MATCH('Database for analysis'!C7,'Priority activities'!$C$5:$C$86,0))</f>
        <v>FP demand generation and behaviour change communication</v>
      </c>
    </row>
    <row r="8" spans="2:27" ht="16.5" thickTop="1" thickBot="1" x14ac:dyDescent="0.3">
      <c r="B8" t="s">
        <v>147</v>
      </c>
      <c r="C8" s="22" t="str">
        <f>'Costing inputs'!$C$52</f>
        <v>Communications strategy (D.1.1)</v>
      </c>
      <c r="D8" s="22" t="str">
        <f>'Costing inputs'!$U$52</f>
        <v>Central level</v>
      </c>
      <c r="E8" s="22" t="str">
        <f>'Regional splits'!$H$14</f>
        <v>Muchinga</v>
      </c>
      <c r="F8">
        <v>0</v>
      </c>
      <c r="G8">
        <v>0</v>
      </c>
      <c r="H8">
        <v>0</v>
      </c>
      <c r="I8">
        <v>0</v>
      </c>
      <c r="J8">
        <v>0</v>
      </c>
      <c r="K8">
        <v>0</v>
      </c>
      <c r="L8">
        <v>0</v>
      </c>
      <c r="M8">
        <v>0</v>
      </c>
      <c r="N8">
        <v>0</v>
      </c>
      <c r="O8">
        <v>0</v>
      </c>
      <c r="P8" s="5">
        <f t="shared" si="2"/>
        <v>0</v>
      </c>
      <c r="Q8">
        <f t="shared" si="3"/>
        <v>0</v>
      </c>
      <c r="R8">
        <f t="shared" si="4"/>
        <v>0</v>
      </c>
      <c r="S8">
        <f t="shared" si="5"/>
        <v>0</v>
      </c>
      <c r="T8">
        <f t="shared" si="6"/>
        <v>0</v>
      </c>
      <c r="U8">
        <f t="shared" si="7"/>
        <v>0</v>
      </c>
      <c r="V8">
        <f t="shared" si="8"/>
        <v>0</v>
      </c>
      <c r="W8">
        <f t="shared" si="9"/>
        <v>0</v>
      </c>
      <c r="X8">
        <f t="shared" si="10"/>
        <v>0</v>
      </c>
      <c r="Y8">
        <f t="shared" si="11"/>
        <v>0</v>
      </c>
      <c r="Z8">
        <f t="shared" si="12"/>
        <v>0</v>
      </c>
      <c r="AA8" t="str">
        <f>INDEX('Priority activities'!$D$5:$D$86,MATCH('Database for analysis'!C8,'Priority activities'!$C$5:$C$86,0))</f>
        <v>FP demand generation and behaviour change communication</v>
      </c>
    </row>
    <row r="9" spans="2:27" ht="16.5" thickTop="1" thickBot="1" x14ac:dyDescent="0.3">
      <c r="B9" t="s">
        <v>147</v>
      </c>
      <c r="C9" s="22" t="str">
        <f>'Costing inputs'!$C$52</f>
        <v>Communications strategy (D.1.1)</v>
      </c>
      <c r="D9" s="22" t="str">
        <f>'Costing inputs'!$U$52</f>
        <v>Central level</v>
      </c>
      <c r="E9" s="22" t="str">
        <f>'Regional splits'!$I$14</f>
        <v>Northern</v>
      </c>
      <c r="F9">
        <v>0</v>
      </c>
      <c r="G9">
        <v>0</v>
      </c>
      <c r="H9">
        <v>0</v>
      </c>
      <c r="I9">
        <v>0</v>
      </c>
      <c r="J9">
        <v>0</v>
      </c>
      <c r="K9">
        <v>0</v>
      </c>
      <c r="L9">
        <v>0</v>
      </c>
      <c r="M9">
        <v>0</v>
      </c>
      <c r="N9">
        <v>0</v>
      </c>
      <c r="O9">
        <v>0</v>
      </c>
      <c r="P9" s="5">
        <f t="shared" si="2"/>
        <v>0</v>
      </c>
      <c r="Q9">
        <f t="shared" si="3"/>
        <v>0</v>
      </c>
      <c r="R9">
        <f t="shared" si="4"/>
        <v>0</v>
      </c>
      <c r="S9">
        <f t="shared" si="5"/>
        <v>0</v>
      </c>
      <c r="T9">
        <f t="shared" si="6"/>
        <v>0</v>
      </c>
      <c r="U9">
        <f t="shared" si="7"/>
        <v>0</v>
      </c>
      <c r="V9">
        <f t="shared" si="8"/>
        <v>0</v>
      </c>
      <c r="W9">
        <f t="shared" si="9"/>
        <v>0</v>
      </c>
      <c r="X9">
        <f t="shared" si="10"/>
        <v>0</v>
      </c>
      <c r="Y9">
        <f t="shared" si="11"/>
        <v>0</v>
      </c>
      <c r="Z9">
        <f t="shared" si="12"/>
        <v>0</v>
      </c>
      <c r="AA9" t="str">
        <f>INDEX('Priority activities'!$D$5:$D$86,MATCH('Database for analysis'!C9,'Priority activities'!$C$5:$C$86,0))</f>
        <v>FP demand generation and behaviour change communication</v>
      </c>
    </row>
    <row r="10" spans="2:27" ht="16.5" thickTop="1" thickBot="1" x14ac:dyDescent="0.3">
      <c r="B10" t="s">
        <v>147</v>
      </c>
      <c r="C10" s="22" t="str">
        <f>'Costing inputs'!$C$52</f>
        <v>Communications strategy (D.1.1)</v>
      </c>
      <c r="D10" s="22" t="str">
        <f>'Costing inputs'!$U$52</f>
        <v>Central level</v>
      </c>
      <c r="E10" s="22" t="str">
        <f>'Regional splits'!$J$14</f>
        <v>North Western</v>
      </c>
      <c r="F10">
        <v>0</v>
      </c>
      <c r="G10">
        <v>0</v>
      </c>
      <c r="H10">
        <v>0</v>
      </c>
      <c r="I10">
        <v>0</v>
      </c>
      <c r="J10">
        <v>0</v>
      </c>
      <c r="K10">
        <v>0</v>
      </c>
      <c r="L10">
        <v>0</v>
      </c>
      <c r="M10">
        <v>0</v>
      </c>
      <c r="N10">
        <v>0</v>
      </c>
      <c r="O10">
        <v>0</v>
      </c>
      <c r="P10" s="5">
        <f t="shared" si="2"/>
        <v>0</v>
      </c>
      <c r="Q10">
        <f t="shared" si="3"/>
        <v>0</v>
      </c>
      <c r="R10">
        <f t="shared" si="4"/>
        <v>0</v>
      </c>
      <c r="S10">
        <f t="shared" si="5"/>
        <v>0</v>
      </c>
      <c r="T10">
        <f t="shared" si="6"/>
        <v>0</v>
      </c>
      <c r="U10">
        <f t="shared" si="7"/>
        <v>0</v>
      </c>
      <c r="V10">
        <f t="shared" si="8"/>
        <v>0</v>
      </c>
      <c r="W10">
        <f t="shared" si="9"/>
        <v>0</v>
      </c>
      <c r="X10">
        <f t="shared" si="10"/>
        <v>0</v>
      </c>
      <c r="Y10">
        <f t="shared" si="11"/>
        <v>0</v>
      </c>
      <c r="Z10">
        <f t="shared" si="12"/>
        <v>0</v>
      </c>
      <c r="AA10" t="str">
        <f>INDEX('Priority activities'!$D$5:$D$86,MATCH('Database for analysis'!C10,'Priority activities'!$C$5:$C$86,0))</f>
        <v>FP demand generation and behaviour change communication</v>
      </c>
    </row>
    <row r="11" spans="2:27" ht="16.5" thickTop="1" thickBot="1" x14ac:dyDescent="0.3">
      <c r="B11" t="s">
        <v>147</v>
      </c>
      <c r="C11" s="22" t="str">
        <f>'Costing inputs'!$C$52</f>
        <v>Communications strategy (D.1.1)</v>
      </c>
      <c r="D11" s="22" t="str">
        <f>'Costing inputs'!$U$52</f>
        <v>Central level</v>
      </c>
      <c r="E11" s="22" t="str">
        <f>'Regional splits'!$K$14</f>
        <v>Southern</v>
      </c>
      <c r="F11">
        <v>0</v>
      </c>
      <c r="G11">
        <v>0</v>
      </c>
      <c r="H11">
        <v>0</v>
      </c>
      <c r="I11">
        <v>0</v>
      </c>
      <c r="J11">
        <v>0</v>
      </c>
      <c r="K11">
        <v>0</v>
      </c>
      <c r="L11">
        <v>0</v>
      </c>
      <c r="M11">
        <v>0</v>
      </c>
      <c r="N11">
        <v>0</v>
      </c>
      <c r="O11">
        <v>0</v>
      </c>
      <c r="P11" s="5">
        <f t="shared" si="2"/>
        <v>0</v>
      </c>
      <c r="Q11">
        <f t="shared" si="3"/>
        <v>0</v>
      </c>
      <c r="R11">
        <f t="shared" si="4"/>
        <v>0</v>
      </c>
      <c r="S11">
        <f t="shared" si="5"/>
        <v>0</v>
      </c>
      <c r="T11">
        <f t="shared" si="6"/>
        <v>0</v>
      </c>
      <c r="U11">
        <f t="shared" si="7"/>
        <v>0</v>
      </c>
      <c r="V11">
        <f t="shared" si="8"/>
        <v>0</v>
      </c>
      <c r="W11">
        <f t="shared" si="9"/>
        <v>0</v>
      </c>
      <c r="X11">
        <f t="shared" si="10"/>
        <v>0</v>
      </c>
      <c r="Y11">
        <f t="shared" si="11"/>
        <v>0</v>
      </c>
      <c r="Z11">
        <f t="shared" si="12"/>
        <v>0</v>
      </c>
      <c r="AA11" t="str">
        <f>INDEX('Priority activities'!$D$5:$D$86,MATCH('Database for analysis'!C11,'Priority activities'!$C$5:$C$86,0))</f>
        <v>FP demand generation and behaviour change communication</v>
      </c>
    </row>
    <row r="12" spans="2:27" ht="16.5" thickTop="1" thickBot="1" x14ac:dyDescent="0.3">
      <c r="B12" t="s">
        <v>147</v>
      </c>
      <c r="C12" s="22" t="str">
        <f>'Costing inputs'!$C$52</f>
        <v>Communications strategy (D.1.1)</v>
      </c>
      <c r="D12" s="22" t="str">
        <f>'Costing inputs'!$U$52</f>
        <v>Central level</v>
      </c>
      <c r="E12" s="22" t="str">
        <f>'Regional splits'!$L$14</f>
        <v>Western</v>
      </c>
      <c r="F12">
        <v>0</v>
      </c>
      <c r="G12">
        <v>0</v>
      </c>
      <c r="H12">
        <v>0</v>
      </c>
      <c r="I12">
        <v>0</v>
      </c>
      <c r="J12">
        <v>0</v>
      </c>
      <c r="K12">
        <v>0</v>
      </c>
      <c r="L12">
        <v>0</v>
      </c>
      <c r="M12">
        <v>0</v>
      </c>
      <c r="N12">
        <v>0</v>
      </c>
      <c r="O12">
        <v>0</v>
      </c>
      <c r="P12" s="5">
        <f t="shared" si="2"/>
        <v>0</v>
      </c>
      <c r="Q12">
        <f t="shared" si="3"/>
        <v>0</v>
      </c>
      <c r="R12">
        <f t="shared" si="4"/>
        <v>0</v>
      </c>
      <c r="S12">
        <f t="shared" si="5"/>
        <v>0</v>
      </c>
      <c r="T12">
        <f t="shared" si="6"/>
        <v>0</v>
      </c>
      <c r="U12">
        <f t="shared" si="7"/>
        <v>0</v>
      </c>
      <c r="V12">
        <f t="shared" si="8"/>
        <v>0</v>
      </c>
      <c r="W12">
        <f t="shared" si="9"/>
        <v>0</v>
      </c>
      <c r="X12">
        <f t="shared" si="10"/>
        <v>0</v>
      </c>
      <c r="Y12">
        <f t="shared" si="11"/>
        <v>0</v>
      </c>
      <c r="Z12">
        <f t="shared" si="12"/>
        <v>0</v>
      </c>
      <c r="AA12" t="str">
        <f>INDEX('Priority activities'!$D$5:$D$86,MATCH('Database for analysis'!C12,'Priority activities'!$C$5:$C$86,0))</f>
        <v>FP demand generation and behaviour change communication</v>
      </c>
    </row>
    <row r="13" spans="2:27" ht="16.5" thickTop="1" thickBot="1" x14ac:dyDescent="0.3">
      <c r="B13" t="s">
        <v>147</v>
      </c>
      <c r="C13" s="22" t="str">
        <f>'Costing inputs'!$C$52</f>
        <v>Communications strategy (D.1.1)</v>
      </c>
      <c r="D13" s="22" t="str">
        <f>'Costing inputs'!$U$52</f>
        <v>Central level</v>
      </c>
      <c r="E13" s="22">
        <f>'Regional splits'!$M$14</f>
        <v>0</v>
      </c>
      <c r="F13">
        <v>0</v>
      </c>
      <c r="G13">
        <v>0</v>
      </c>
      <c r="H13">
        <v>0</v>
      </c>
      <c r="I13">
        <v>0</v>
      </c>
      <c r="J13">
        <v>0</v>
      </c>
      <c r="K13">
        <v>0</v>
      </c>
      <c r="L13">
        <v>0</v>
      </c>
      <c r="M13">
        <v>0</v>
      </c>
      <c r="N13">
        <v>0</v>
      </c>
      <c r="O13">
        <v>0</v>
      </c>
      <c r="P13" s="5">
        <f t="shared" si="2"/>
        <v>0</v>
      </c>
      <c r="Q13">
        <f t="shared" si="3"/>
        <v>0</v>
      </c>
      <c r="R13">
        <f t="shared" si="4"/>
        <v>0</v>
      </c>
      <c r="S13">
        <f t="shared" si="5"/>
        <v>0</v>
      </c>
      <c r="T13">
        <f t="shared" si="6"/>
        <v>0</v>
      </c>
      <c r="U13">
        <f t="shared" si="7"/>
        <v>0</v>
      </c>
      <c r="V13">
        <f t="shared" si="8"/>
        <v>0</v>
      </c>
      <c r="W13">
        <f t="shared" si="9"/>
        <v>0</v>
      </c>
      <c r="X13">
        <f t="shared" si="10"/>
        <v>0</v>
      </c>
      <c r="Y13">
        <f t="shared" si="11"/>
        <v>0</v>
      </c>
      <c r="Z13">
        <f t="shared" si="12"/>
        <v>0</v>
      </c>
      <c r="AA13" t="str">
        <f>INDEX('Priority activities'!$D$5:$D$86,MATCH('Database for analysis'!C13,'Priority activities'!$C$5:$C$86,0))</f>
        <v>FP demand generation and behaviour change communication</v>
      </c>
    </row>
    <row r="14" spans="2:27" ht="16.5" thickTop="1" thickBot="1" x14ac:dyDescent="0.3">
      <c r="B14" t="s">
        <v>147</v>
      </c>
      <c r="C14" s="22" t="str">
        <f>'Costing inputs'!$C$52</f>
        <v>Communications strategy (D.1.1)</v>
      </c>
      <c r="D14" s="22" t="str">
        <f>'Costing inputs'!$U$52</f>
        <v>Central level</v>
      </c>
      <c r="E14" s="22">
        <f>'Regional splits'!$N$14</f>
        <v>0</v>
      </c>
      <c r="F14">
        <v>0</v>
      </c>
      <c r="G14">
        <v>0</v>
      </c>
      <c r="H14">
        <v>0</v>
      </c>
      <c r="I14">
        <v>0</v>
      </c>
      <c r="J14">
        <v>0</v>
      </c>
      <c r="K14">
        <v>0</v>
      </c>
      <c r="L14">
        <v>0</v>
      </c>
      <c r="M14">
        <v>0</v>
      </c>
      <c r="N14">
        <v>0</v>
      </c>
      <c r="O14">
        <v>0</v>
      </c>
      <c r="P14" s="5">
        <f t="shared" si="2"/>
        <v>0</v>
      </c>
      <c r="Q14">
        <f t="shared" si="3"/>
        <v>0</v>
      </c>
      <c r="R14">
        <f t="shared" si="4"/>
        <v>0</v>
      </c>
      <c r="S14">
        <f t="shared" si="5"/>
        <v>0</v>
      </c>
      <c r="T14">
        <f t="shared" si="6"/>
        <v>0</v>
      </c>
      <c r="U14">
        <f t="shared" si="7"/>
        <v>0</v>
      </c>
      <c r="V14">
        <f t="shared" si="8"/>
        <v>0</v>
      </c>
      <c r="W14">
        <f t="shared" si="9"/>
        <v>0</v>
      </c>
      <c r="X14">
        <f t="shared" si="10"/>
        <v>0</v>
      </c>
      <c r="Y14">
        <f t="shared" si="11"/>
        <v>0</v>
      </c>
      <c r="Z14">
        <f t="shared" si="12"/>
        <v>0</v>
      </c>
      <c r="AA14" t="str">
        <f>INDEX('Priority activities'!$D$5:$D$86,MATCH('Database for analysis'!C14,'Priority activities'!$C$5:$C$86,0))</f>
        <v>FP demand generation and behaviour change communication</v>
      </c>
    </row>
    <row r="15" spans="2:27" ht="16.5" thickTop="1" thickBot="1" x14ac:dyDescent="0.3">
      <c r="B15" t="s">
        <v>147</v>
      </c>
      <c r="C15" s="22" t="str">
        <f>'Costing inputs'!$C$52</f>
        <v>Communications strategy (D.1.1)</v>
      </c>
      <c r="D15" s="22" t="str">
        <f>'Costing inputs'!$U$52</f>
        <v>Central level</v>
      </c>
      <c r="E15" s="22">
        <f>'Regional splits'!$O$14</f>
        <v>0</v>
      </c>
      <c r="F15">
        <v>0</v>
      </c>
      <c r="G15">
        <v>0</v>
      </c>
      <c r="H15">
        <v>0</v>
      </c>
      <c r="I15">
        <v>0</v>
      </c>
      <c r="J15">
        <v>0</v>
      </c>
      <c r="K15">
        <v>0</v>
      </c>
      <c r="L15">
        <v>0</v>
      </c>
      <c r="M15">
        <v>0</v>
      </c>
      <c r="N15">
        <v>0</v>
      </c>
      <c r="O15">
        <v>0</v>
      </c>
      <c r="P15" s="5">
        <f t="shared" si="2"/>
        <v>0</v>
      </c>
      <c r="Q15">
        <f t="shared" si="3"/>
        <v>0</v>
      </c>
      <c r="R15">
        <f t="shared" si="4"/>
        <v>0</v>
      </c>
      <c r="S15">
        <f t="shared" si="5"/>
        <v>0</v>
      </c>
      <c r="T15">
        <f t="shared" si="6"/>
        <v>0</v>
      </c>
      <c r="U15">
        <f t="shared" si="7"/>
        <v>0</v>
      </c>
      <c r="V15">
        <f t="shared" si="8"/>
        <v>0</v>
      </c>
      <c r="W15">
        <f t="shared" si="9"/>
        <v>0</v>
      </c>
      <c r="X15">
        <f t="shared" si="10"/>
        <v>0</v>
      </c>
      <c r="Y15">
        <f t="shared" si="11"/>
        <v>0</v>
      </c>
      <c r="Z15">
        <f t="shared" si="12"/>
        <v>0</v>
      </c>
      <c r="AA15" t="str">
        <f>INDEX('Priority activities'!$D$5:$D$86,MATCH('Database for analysis'!C15,'Priority activities'!$C$5:$C$86,0))</f>
        <v>FP demand generation and behaviour change communication</v>
      </c>
    </row>
    <row r="16" spans="2:27" ht="16.5" thickTop="1" thickBot="1" x14ac:dyDescent="0.3">
      <c r="B16" t="s">
        <v>147</v>
      </c>
      <c r="C16" s="22" t="str">
        <f>'Costing inputs'!$C$52</f>
        <v>Communications strategy (D.1.1)</v>
      </c>
      <c r="D16" s="22" t="str">
        <f>'Costing inputs'!$U$52</f>
        <v>Central level</v>
      </c>
      <c r="E16" s="22">
        <f>'Regional splits'!$P$14</f>
        <v>0</v>
      </c>
      <c r="F16">
        <v>0</v>
      </c>
      <c r="G16">
        <v>0</v>
      </c>
      <c r="H16">
        <v>0</v>
      </c>
      <c r="I16">
        <v>0</v>
      </c>
      <c r="J16">
        <v>0</v>
      </c>
      <c r="K16">
        <v>0</v>
      </c>
      <c r="L16">
        <v>0</v>
      </c>
      <c r="M16">
        <v>0</v>
      </c>
      <c r="N16">
        <v>0</v>
      </c>
      <c r="O16">
        <v>0</v>
      </c>
      <c r="P16" s="5">
        <f t="shared" si="2"/>
        <v>0</v>
      </c>
      <c r="Q16">
        <f t="shared" si="3"/>
        <v>0</v>
      </c>
      <c r="R16">
        <f t="shared" si="4"/>
        <v>0</v>
      </c>
      <c r="S16">
        <f t="shared" si="5"/>
        <v>0</v>
      </c>
      <c r="T16">
        <f t="shared" si="6"/>
        <v>0</v>
      </c>
      <c r="U16">
        <f t="shared" si="7"/>
        <v>0</v>
      </c>
      <c r="V16">
        <f t="shared" si="8"/>
        <v>0</v>
      </c>
      <c r="W16">
        <f t="shared" si="9"/>
        <v>0</v>
      </c>
      <c r="X16">
        <f t="shared" si="10"/>
        <v>0</v>
      </c>
      <c r="Y16">
        <f t="shared" si="11"/>
        <v>0</v>
      </c>
      <c r="Z16">
        <f t="shared" si="12"/>
        <v>0</v>
      </c>
      <c r="AA16" t="str">
        <f>INDEX('Priority activities'!$D$5:$D$86,MATCH('Database for analysis'!C16,'Priority activities'!$C$5:$C$86,0))</f>
        <v>FP demand generation and behaviour change communication</v>
      </c>
    </row>
    <row r="17" spans="2:27" ht="16.5" thickTop="1" thickBot="1" x14ac:dyDescent="0.3">
      <c r="B17" t="s">
        <v>147</v>
      </c>
      <c r="C17" s="22" t="str">
        <f>'Costing inputs'!$C$52</f>
        <v>Communications strategy (D.1.1)</v>
      </c>
      <c r="D17" s="22" t="str">
        <f>'Costing inputs'!$U$52</f>
        <v>Central level</v>
      </c>
      <c r="E17" s="22">
        <f>'Regional splits'!$Q$14</f>
        <v>0</v>
      </c>
      <c r="F17">
        <v>0</v>
      </c>
      <c r="G17">
        <v>0</v>
      </c>
      <c r="H17">
        <v>0</v>
      </c>
      <c r="I17">
        <v>0</v>
      </c>
      <c r="J17">
        <v>0</v>
      </c>
      <c r="K17">
        <v>0</v>
      </c>
      <c r="L17">
        <v>0</v>
      </c>
      <c r="M17">
        <v>0</v>
      </c>
      <c r="N17">
        <v>0</v>
      </c>
      <c r="O17">
        <v>0</v>
      </c>
      <c r="P17" s="5">
        <f t="shared" si="2"/>
        <v>0</v>
      </c>
      <c r="Q17">
        <f t="shared" si="3"/>
        <v>0</v>
      </c>
      <c r="R17">
        <f t="shared" si="4"/>
        <v>0</v>
      </c>
      <c r="S17">
        <f t="shared" si="5"/>
        <v>0</v>
      </c>
      <c r="T17">
        <f t="shared" si="6"/>
        <v>0</v>
      </c>
      <c r="U17">
        <f t="shared" si="7"/>
        <v>0</v>
      </c>
      <c r="V17">
        <f t="shared" si="8"/>
        <v>0</v>
      </c>
      <c r="W17">
        <f t="shared" si="9"/>
        <v>0</v>
      </c>
      <c r="X17">
        <f t="shared" si="10"/>
        <v>0</v>
      </c>
      <c r="Y17">
        <f t="shared" si="11"/>
        <v>0</v>
      </c>
      <c r="Z17">
        <f t="shared" si="12"/>
        <v>0</v>
      </c>
      <c r="AA17" t="str">
        <f>INDEX('Priority activities'!$D$5:$D$86,MATCH('Database for analysis'!C17,'Priority activities'!$C$5:$C$86,0))</f>
        <v>FP demand generation and behaviour change communication</v>
      </c>
    </row>
    <row r="18" spans="2:27" ht="16.5" thickTop="1" thickBot="1" x14ac:dyDescent="0.3">
      <c r="B18" t="s">
        <v>147</v>
      </c>
      <c r="C18" s="22" t="str">
        <f>'Costing inputs'!$C$52</f>
        <v>Communications strategy (D.1.1)</v>
      </c>
      <c r="D18" s="22" t="str">
        <f>'Costing inputs'!$U$52</f>
        <v>Central level</v>
      </c>
      <c r="E18" s="22" t="str">
        <f>'Regional splits'!$R$14</f>
        <v>National-level</v>
      </c>
      <c r="F18">
        <v>75000</v>
      </c>
      <c r="G18">
        <v>0</v>
      </c>
      <c r="H18">
        <v>0</v>
      </c>
      <c r="I18">
        <v>0</v>
      </c>
      <c r="J18">
        <v>0</v>
      </c>
      <c r="K18">
        <v>0</v>
      </c>
      <c r="L18">
        <v>0</v>
      </c>
      <c r="M18">
        <v>0</v>
      </c>
      <c r="N18">
        <v>0</v>
      </c>
      <c r="O18">
        <v>0</v>
      </c>
      <c r="P18" s="5">
        <f t="shared" si="2"/>
        <v>75000</v>
      </c>
      <c r="Q18">
        <f t="shared" si="3"/>
        <v>75000</v>
      </c>
      <c r="R18">
        <f t="shared" si="4"/>
        <v>0</v>
      </c>
      <c r="S18">
        <f t="shared" si="5"/>
        <v>0</v>
      </c>
      <c r="T18">
        <f t="shared" si="6"/>
        <v>0</v>
      </c>
      <c r="U18">
        <f t="shared" si="7"/>
        <v>0</v>
      </c>
      <c r="V18">
        <f t="shared" si="8"/>
        <v>0</v>
      </c>
      <c r="W18">
        <f t="shared" si="9"/>
        <v>0</v>
      </c>
      <c r="X18">
        <f t="shared" si="10"/>
        <v>0</v>
      </c>
      <c r="Y18">
        <f t="shared" si="11"/>
        <v>0</v>
      </c>
      <c r="Z18">
        <f t="shared" si="12"/>
        <v>0</v>
      </c>
      <c r="AA18" t="str">
        <f>INDEX('Priority activities'!$D$5:$D$86,MATCH('Database for analysis'!C18,'Priority activities'!$C$5:$C$86,0))</f>
        <v>FP demand generation and behaviour change communication</v>
      </c>
    </row>
    <row r="19" spans="2:27" ht="16.5" thickTop="1" thickBot="1" x14ac:dyDescent="0.3">
      <c r="B19" t="s">
        <v>147</v>
      </c>
      <c r="C19" s="22" t="str">
        <f>'Costing inputs'!$C$57</f>
        <v>Radio and TV (D.1.2)</v>
      </c>
      <c r="D19" s="22" t="str">
        <f>'Costing inputs'!$U$59</f>
        <v>Central level</v>
      </c>
      <c r="E19" s="22" t="str">
        <f>'Regional splits'!$C$14</f>
        <v>Central</v>
      </c>
      <c r="F19">
        <f t="array" ref="F19:O34">'Costing inputs'!S59*'Costing inputs'!AP59:AY59*TRANSPOSE('Costing inputs'!W59:AL59)</f>
        <v>0</v>
      </c>
      <c r="G19">
        <v>0</v>
      </c>
      <c r="H19">
        <v>0</v>
      </c>
      <c r="I19">
        <v>0</v>
      </c>
      <c r="J19">
        <v>0</v>
      </c>
      <c r="K19">
        <v>0</v>
      </c>
      <c r="L19">
        <v>0</v>
      </c>
      <c r="M19">
        <v>0</v>
      </c>
      <c r="N19">
        <v>0</v>
      </c>
      <c r="O19">
        <v>0</v>
      </c>
      <c r="P19" s="5">
        <f t="shared" si="2"/>
        <v>0</v>
      </c>
      <c r="Q19">
        <f t="shared" si="3"/>
        <v>0</v>
      </c>
      <c r="R19">
        <f t="shared" si="4"/>
        <v>0</v>
      </c>
      <c r="S19">
        <f t="shared" si="5"/>
        <v>0</v>
      </c>
      <c r="T19">
        <f t="shared" si="6"/>
        <v>0</v>
      </c>
      <c r="U19">
        <f t="shared" si="7"/>
        <v>0</v>
      </c>
      <c r="V19">
        <f t="shared" si="8"/>
        <v>0</v>
      </c>
      <c r="W19">
        <f t="shared" si="9"/>
        <v>0</v>
      </c>
      <c r="X19">
        <f t="shared" si="10"/>
        <v>0</v>
      </c>
      <c r="Y19">
        <f t="shared" si="11"/>
        <v>0</v>
      </c>
      <c r="Z19">
        <f t="shared" si="12"/>
        <v>0</v>
      </c>
      <c r="AA19" t="str">
        <f>INDEX('Priority activities'!$D$5:$D$86,MATCH('Database for analysis'!C19,'Priority activities'!$C$5:$C$86,0))</f>
        <v>FP demand generation and behaviour change communication</v>
      </c>
    </row>
    <row r="20" spans="2:27" ht="16.5" thickTop="1" thickBot="1" x14ac:dyDescent="0.3">
      <c r="B20" t="s">
        <v>147</v>
      </c>
      <c r="C20" s="22" t="str">
        <f>'Costing inputs'!$C$57</f>
        <v>Radio and TV (D.1.2)</v>
      </c>
      <c r="D20" s="22" t="str">
        <f>'Costing inputs'!$U$59</f>
        <v>Central level</v>
      </c>
      <c r="E20" s="22" t="str">
        <f>'Regional splits'!$D$14</f>
        <v>Copperbelt</v>
      </c>
      <c r="F20">
        <v>0</v>
      </c>
      <c r="G20">
        <v>0</v>
      </c>
      <c r="H20">
        <v>0</v>
      </c>
      <c r="I20">
        <v>0</v>
      </c>
      <c r="J20">
        <v>0</v>
      </c>
      <c r="K20">
        <v>0</v>
      </c>
      <c r="L20">
        <v>0</v>
      </c>
      <c r="M20">
        <v>0</v>
      </c>
      <c r="N20">
        <v>0</v>
      </c>
      <c r="O20">
        <v>0</v>
      </c>
      <c r="P20" s="5">
        <f t="shared" si="2"/>
        <v>0</v>
      </c>
      <c r="Q20">
        <f t="shared" si="3"/>
        <v>0</v>
      </c>
      <c r="R20">
        <f t="shared" si="4"/>
        <v>0</v>
      </c>
      <c r="S20">
        <f t="shared" si="5"/>
        <v>0</v>
      </c>
      <c r="T20">
        <f t="shared" si="6"/>
        <v>0</v>
      </c>
      <c r="U20">
        <f t="shared" si="7"/>
        <v>0</v>
      </c>
      <c r="V20">
        <f t="shared" si="8"/>
        <v>0</v>
      </c>
      <c r="W20">
        <f t="shared" si="9"/>
        <v>0</v>
      </c>
      <c r="X20">
        <f t="shared" si="10"/>
        <v>0</v>
      </c>
      <c r="Y20">
        <f t="shared" si="11"/>
        <v>0</v>
      </c>
      <c r="Z20">
        <f t="shared" si="12"/>
        <v>0</v>
      </c>
      <c r="AA20" t="str">
        <f>INDEX('Priority activities'!$D$5:$D$86,MATCH('Database for analysis'!C20,'Priority activities'!$C$5:$C$86,0))</f>
        <v>FP demand generation and behaviour change communication</v>
      </c>
    </row>
    <row r="21" spans="2:27" ht="16.5" thickTop="1" thickBot="1" x14ac:dyDescent="0.3">
      <c r="B21" t="s">
        <v>147</v>
      </c>
      <c r="C21" s="22" t="str">
        <f>'Costing inputs'!$C$57</f>
        <v>Radio and TV (D.1.2)</v>
      </c>
      <c r="D21" s="22" t="str">
        <f>'Costing inputs'!$U$59</f>
        <v>Central level</v>
      </c>
      <c r="E21" s="22" t="str">
        <f>'Regional splits'!$E$14</f>
        <v>Eastern</v>
      </c>
      <c r="F21">
        <v>0</v>
      </c>
      <c r="G21">
        <v>0</v>
      </c>
      <c r="H21">
        <v>0</v>
      </c>
      <c r="I21">
        <v>0</v>
      </c>
      <c r="J21">
        <v>0</v>
      </c>
      <c r="K21">
        <v>0</v>
      </c>
      <c r="L21">
        <v>0</v>
      </c>
      <c r="M21">
        <v>0</v>
      </c>
      <c r="N21">
        <v>0</v>
      </c>
      <c r="O21">
        <v>0</v>
      </c>
      <c r="P21" s="5">
        <f t="shared" si="2"/>
        <v>0</v>
      </c>
      <c r="Q21">
        <f t="shared" si="3"/>
        <v>0</v>
      </c>
      <c r="R21">
        <f t="shared" si="4"/>
        <v>0</v>
      </c>
      <c r="S21">
        <f t="shared" si="5"/>
        <v>0</v>
      </c>
      <c r="T21">
        <f t="shared" si="6"/>
        <v>0</v>
      </c>
      <c r="U21">
        <f t="shared" si="7"/>
        <v>0</v>
      </c>
      <c r="V21">
        <f t="shared" si="8"/>
        <v>0</v>
      </c>
      <c r="W21">
        <f t="shared" si="9"/>
        <v>0</v>
      </c>
      <c r="X21">
        <f t="shared" si="10"/>
        <v>0</v>
      </c>
      <c r="Y21">
        <f t="shared" si="11"/>
        <v>0</v>
      </c>
      <c r="Z21">
        <f t="shared" si="12"/>
        <v>0</v>
      </c>
      <c r="AA21" t="str">
        <f>INDEX('Priority activities'!$D$5:$D$86,MATCH('Database for analysis'!C21,'Priority activities'!$C$5:$C$86,0))</f>
        <v>FP demand generation and behaviour change communication</v>
      </c>
    </row>
    <row r="22" spans="2:27" ht="16.5" thickTop="1" thickBot="1" x14ac:dyDescent="0.3">
      <c r="B22" t="s">
        <v>147</v>
      </c>
      <c r="C22" s="22" t="str">
        <f>'Costing inputs'!$C$57</f>
        <v>Radio and TV (D.1.2)</v>
      </c>
      <c r="D22" s="22" t="str">
        <f>'Costing inputs'!$U$59</f>
        <v>Central level</v>
      </c>
      <c r="E22" s="22" t="str">
        <f>'Regional splits'!$F$14</f>
        <v>Luapula</v>
      </c>
      <c r="F22">
        <v>0</v>
      </c>
      <c r="G22">
        <v>0</v>
      </c>
      <c r="H22">
        <v>0</v>
      </c>
      <c r="I22">
        <v>0</v>
      </c>
      <c r="J22">
        <v>0</v>
      </c>
      <c r="K22">
        <v>0</v>
      </c>
      <c r="L22">
        <v>0</v>
      </c>
      <c r="M22">
        <v>0</v>
      </c>
      <c r="N22">
        <v>0</v>
      </c>
      <c r="O22">
        <v>0</v>
      </c>
      <c r="P22" s="5">
        <f t="shared" si="2"/>
        <v>0</v>
      </c>
      <c r="Q22">
        <f t="shared" si="3"/>
        <v>0</v>
      </c>
      <c r="R22">
        <f t="shared" si="4"/>
        <v>0</v>
      </c>
      <c r="S22">
        <f t="shared" si="5"/>
        <v>0</v>
      </c>
      <c r="T22">
        <f t="shared" si="6"/>
        <v>0</v>
      </c>
      <c r="U22">
        <f t="shared" si="7"/>
        <v>0</v>
      </c>
      <c r="V22">
        <f t="shared" si="8"/>
        <v>0</v>
      </c>
      <c r="W22">
        <f t="shared" si="9"/>
        <v>0</v>
      </c>
      <c r="X22">
        <f t="shared" si="10"/>
        <v>0</v>
      </c>
      <c r="Y22">
        <f t="shared" si="11"/>
        <v>0</v>
      </c>
      <c r="Z22">
        <f t="shared" si="12"/>
        <v>0</v>
      </c>
      <c r="AA22" t="str">
        <f>INDEX('Priority activities'!$D$5:$D$86,MATCH('Database for analysis'!C22,'Priority activities'!$C$5:$C$86,0))</f>
        <v>FP demand generation and behaviour change communication</v>
      </c>
    </row>
    <row r="23" spans="2:27" ht="16.5" thickTop="1" thickBot="1" x14ac:dyDescent="0.3">
      <c r="B23" t="s">
        <v>147</v>
      </c>
      <c r="C23" s="22" t="str">
        <f>'Costing inputs'!$C$57</f>
        <v>Radio and TV (D.1.2)</v>
      </c>
      <c r="D23" s="22" t="str">
        <f>'Costing inputs'!$U$59</f>
        <v>Central level</v>
      </c>
      <c r="E23" s="22" t="str">
        <f>'Regional splits'!$G$14</f>
        <v>Lusaka</v>
      </c>
      <c r="F23">
        <v>0</v>
      </c>
      <c r="G23">
        <v>0</v>
      </c>
      <c r="H23">
        <v>0</v>
      </c>
      <c r="I23">
        <v>0</v>
      </c>
      <c r="J23">
        <v>0</v>
      </c>
      <c r="K23">
        <v>0</v>
      </c>
      <c r="L23">
        <v>0</v>
      </c>
      <c r="M23">
        <v>0</v>
      </c>
      <c r="N23">
        <v>0</v>
      </c>
      <c r="O23">
        <v>0</v>
      </c>
      <c r="P23" s="5">
        <f t="shared" si="2"/>
        <v>0</v>
      </c>
      <c r="Q23">
        <f t="shared" si="3"/>
        <v>0</v>
      </c>
      <c r="R23">
        <f t="shared" si="4"/>
        <v>0</v>
      </c>
      <c r="S23">
        <f t="shared" si="5"/>
        <v>0</v>
      </c>
      <c r="T23">
        <f t="shared" si="6"/>
        <v>0</v>
      </c>
      <c r="U23">
        <f t="shared" si="7"/>
        <v>0</v>
      </c>
      <c r="V23">
        <f t="shared" si="8"/>
        <v>0</v>
      </c>
      <c r="W23">
        <f t="shared" si="9"/>
        <v>0</v>
      </c>
      <c r="X23">
        <f t="shared" si="10"/>
        <v>0</v>
      </c>
      <c r="Y23">
        <f t="shared" si="11"/>
        <v>0</v>
      </c>
      <c r="Z23">
        <f t="shared" si="12"/>
        <v>0</v>
      </c>
      <c r="AA23" t="str">
        <f>INDEX('Priority activities'!$D$5:$D$86,MATCH('Database for analysis'!C23,'Priority activities'!$C$5:$C$86,0))</f>
        <v>FP demand generation and behaviour change communication</v>
      </c>
    </row>
    <row r="24" spans="2:27" ht="16.5" thickTop="1" thickBot="1" x14ac:dyDescent="0.3">
      <c r="B24" t="s">
        <v>147</v>
      </c>
      <c r="C24" s="22" t="str">
        <f>'Costing inputs'!$C$57</f>
        <v>Radio and TV (D.1.2)</v>
      </c>
      <c r="D24" s="22" t="str">
        <f>'Costing inputs'!$U$59</f>
        <v>Central level</v>
      </c>
      <c r="E24" s="22" t="str">
        <f>'Regional splits'!$H$14</f>
        <v>Muchinga</v>
      </c>
      <c r="F24">
        <v>0</v>
      </c>
      <c r="G24">
        <v>0</v>
      </c>
      <c r="H24">
        <v>0</v>
      </c>
      <c r="I24">
        <v>0</v>
      </c>
      <c r="J24">
        <v>0</v>
      </c>
      <c r="K24">
        <v>0</v>
      </c>
      <c r="L24">
        <v>0</v>
      </c>
      <c r="M24">
        <v>0</v>
      </c>
      <c r="N24">
        <v>0</v>
      </c>
      <c r="O24">
        <v>0</v>
      </c>
      <c r="P24" s="5">
        <f t="shared" si="2"/>
        <v>0</v>
      </c>
      <c r="Q24">
        <f t="shared" si="3"/>
        <v>0</v>
      </c>
      <c r="R24">
        <f t="shared" si="4"/>
        <v>0</v>
      </c>
      <c r="S24">
        <f t="shared" si="5"/>
        <v>0</v>
      </c>
      <c r="T24">
        <f t="shared" si="6"/>
        <v>0</v>
      </c>
      <c r="U24">
        <f t="shared" si="7"/>
        <v>0</v>
      </c>
      <c r="V24">
        <f t="shared" si="8"/>
        <v>0</v>
      </c>
      <c r="W24">
        <f t="shared" si="9"/>
        <v>0</v>
      </c>
      <c r="X24">
        <f t="shared" si="10"/>
        <v>0</v>
      </c>
      <c r="Y24">
        <f t="shared" si="11"/>
        <v>0</v>
      </c>
      <c r="Z24">
        <f t="shared" si="12"/>
        <v>0</v>
      </c>
      <c r="AA24" t="str">
        <f>INDEX('Priority activities'!$D$5:$D$86,MATCH('Database for analysis'!C24,'Priority activities'!$C$5:$C$86,0))</f>
        <v>FP demand generation and behaviour change communication</v>
      </c>
    </row>
    <row r="25" spans="2:27" ht="16.5" thickTop="1" thickBot="1" x14ac:dyDescent="0.3">
      <c r="B25" t="s">
        <v>147</v>
      </c>
      <c r="C25" s="22" t="str">
        <f>'Costing inputs'!$C$57</f>
        <v>Radio and TV (D.1.2)</v>
      </c>
      <c r="D25" s="22" t="str">
        <f>'Costing inputs'!$U$59</f>
        <v>Central level</v>
      </c>
      <c r="E25" s="22" t="str">
        <f>'Regional splits'!$I$14</f>
        <v>Northern</v>
      </c>
      <c r="F25">
        <v>0</v>
      </c>
      <c r="G25">
        <v>0</v>
      </c>
      <c r="H25">
        <v>0</v>
      </c>
      <c r="I25">
        <v>0</v>
      </c>
      <c r="J25">
        <v>0</v>
      </c>
      <c r="K25">
        <v>0</v>
      </c>
      <c r="L25">
        <v>0</v>
      </c>
      <c r="M25">
        <v>0</v>
      </c>
      <c r="N25">
        <v>0</v>
      </c>
      <c r="O25">
        <v>0</v>
      </c>
      <c r="P25" s="5">
        <f t="shared" si="2"/>
        <v>0</v>
      </c>
      <c r="Q25">
        <f t="shared" si="3"/>
        <v>0</v>
      </c>
      <c r="R25">
        <f t="shared" si="4"/>
        <v>0</v>
      </c>
      <c r="S25">
        <f t="shared" si="5"/>
        <v>0</v>
      </c>
      <c r="T25">
        <f t="shared" si="6"/>
        <v>0</v>
      </c>
      <c r="U25">
        <f t="shared" si="7"/>
        <v>0</v>
      </c>
      <c r="V25">
        <f t="shared" si="8"/>
        <v>0</v>
      </c>
      <c r="W25">
        <f t="shared" si="9"/>
        <v>0</v>
      </c>
      <c r="X25">
        <f t="shared" si="10"/>
        <v>0</v>
      </c>
      <c r="Y25">
        <f t="shared" si="11"/>
        <v>0</v>
      </c>
      <c r="Z25">
        <f t="shared" si="12"/>
        <v>0</v>
      </c>
      <c r="AA25" t="str">
        <f>INDEX('Priority activities'!$D$5:$D$86,MATCH('Database for analysis'!C25,'Priority activities'!$C$5:$C$86,0))</f>
        <v>FP demand generation and behaviour change communication</v>
      </c>
    </row>
    <row r="26" spans="2:27" ht="16.5" thickTop="1" thickBot="1" x14ac:dyDescent="0.3">
      <c r="B26" t="s">
        <v>147</v>
      </c>
      <c r="C26" s="22" t="str">
        <f>'Costing inputs'!$C$57</f>
        <v>Radio and TV (D.1.2)</v>
      </c>
      <c r="D26" s="22" t="str">
        <f>'Costing inputs'!$U$59</f>
        <v>Central level</v>
      </c>
      <c r="E26" s="22" t="str">
        <f>'Regional splits'!$J$14</f>
        <v>North Western</v>
      </c>
      <c r="F26">
        <v>0</v>
      </c>
      <c r="G26">
        <v>0</v>
      </c>
      <c r="H26">
        <v>0</v>
      </c>
      <c r="I26">
        <v>0</v>
      </c>
      <c r="J26">
        <v>0</v>
      </c>
      <c r="K26">
        <v>0</v>
      </c>
      <c r="L26">
        <v>0</v>
      </c>
      <c r="M26">
        <v>0</v>
      </c>
      <c r="N26">
        <v>0</v>
      </c>
      <c r="O26">
        <v>0</v>
      </c>
      <c r="P26" s="5">
        <f t="shared" si="2"/>
        <v>0</v>
      </c>
      <c r="Q26">
        <f t="shared" si="3"/>
        <v>0</v>
      </c>
      <c r="R26">
        <f t="shared" si="4"/>
        <v>0</v>
      </c>
      <c r="S26">
        <f t="shared" si="5"/>
        <v>0</v>
      </c>
      <c r="T26">
        <f t="shared" si="6"/>
        <v>0</v>
      </c>
      <c r="U26">
        <f t="shared" si="7"/>
        <v>0</v>
      </c>
      <c r="V26">
        <f t="shared" si="8"/>
        <v>0</v>
      </c>
      <c r="W26">
        <f t="shared" si="9"/>
        <v>0</v>
      </c>
      <c r="X26">
        <f t="shared" si="10"/>
        <v>0</v>
      </c>
      <c r="Y26">
        <f t="shared" si="11"/>
        <v>0</v>
      </c>
      <c r="Z26">
        <f t="shared" si="12"/>
        <v>0</v>
      </c>
      <c r="AA26" t="str">
        <f>INDEX('Priority activities'!$D$5:$D$86,MATCH('Database for analysis'!C26,'Priority activities'!$C$5:$C$86,0))</f>
        <v>FP demand generation and behaviour change communication</v>
      </c>
    </row>
    <row r="27" spans="2:27" ht="16.5" thickTop="1" thickBot="1" x14ac:dyDescent="0.3">
      <c r="B27" t="s">
        <v>147</v>
      </c>
      <c r="C27" s="22" t="str">
        <f>'Costing inputs'!$C$57</f>
        <v>Radio and TV (D.1.2)</v>
      </c>
      <c r="D27" s="22" t="str">
        <f>'Costing inputs'!$U$59</f>
        <v>Central level</v>
      </c>
      <c r="E27" s="22" t="str">
        <f>'Regional splits'!$K$14</f>
        <v>Southern</v>
      </c>
      <c r="F27">
        <v>0</v>
      </c>
      <c r="G27">
        <v>0</v>
      </c>
      <c r="H27">
        <v>0</v>
      </c>
      <c r="I27">
        <v>0</v>
      </c>
      <c r="J27">
        <v>0</v>
      </c>
      <c r="K27">
        <v>0</v>
      </c>
      <c r="L27">
        <v>0</v>
      </c>
      <c r="M27">
        <v>0</v>
      </c>
      <c r="N27">
        <v>0</v>
      </c>
      <c r="O27">
        <v>0</v>
      </c>
      <c r="P27" s="5">
        <f t="shared" si="2"/>
        <v>0</v>
      </c>
      <c r="Q27">
        <f t="shared" si="3"/>
        <v>0</v>
      </c>
      <c r="R27">
        <f t="shared" si="4"/>
        <v>0</v>
      </c>
      <c r="S27">
        <f t="shared" si="5"/>
        <v>0</v>
      </c>
      <c r="T27">
        <f t="shared" si="6"/>
        <v>0</v>
      </c>
      <c r="U27">
        <f t="shared" si="7"/>
        <v>0</v>
      </c>
      <c r="V27">
        <f t="shared" si="8"/>
        <v>0</v>
      </c>
      <c r="W27">
        <f t="shared" si="9"/>
        <v>0</v>
      </c>
      <c r="X27">
        <f t="shared" si="10"/>
        <v>0</v>
      </c>
      <c r="Y27">
        <f t="shared" si="11"/>
        <v>0</v>
      </c>
      <c r="Z27">
        <f t="shared" si="12"/>
        <v>0</v>
      </c>
      <c r="AA27" t="str">
        <f>INDEX('Priority activities'!$D$5:$D$86,MATCH('Database for analysis'!C27,'Priority activities'!$C$5:$C$86,0))</f>
        <v>FP demand generation and behaviour change communication</v>
      </c>
    </row>
    <row r="28" spans="2:27" ht="16.5" thickTop="1" thickBot="1" x14ac:dyDescent="0.3">
      <c r="B28" t="s">
        <v>147</v>
      </c>
      <c r="C28" s="22" t="str">
        <f>'Costing inputs'!$C$57</f>
        <v>Radio and TV (D.1.2)</v>
      </c>
      <c r="D28" s="22" t="str">
        <f>'Costing inputs'!$U$59</f>
        <v>Central level</v>
      </c>
      <c r="E28" s="22" t="str">
        <f>'Regional splits'!$L$14</f>
        <v>Western</v>
      </c>
      <c r="F28">
        <v>0</v>
      </c>
      <c r="G28">
        <v>0</v>
      </c>
      <c r="H28">
        <v>0</v>
      </c>
      <c r="I28">
        <v>0</v>
      </c>
      <c r="J28">
        <v>0</v>
      </c>
      <c r="K28">
        <v>0</v>
      </c>
      <c r="L28">
        <v>0</v>
      </c>
      <c r="M28">
        <v>0</v>
      </c>
      <c r="N28">
        <v>0</v>
      </c>
      <c r="O28">
        <v>0</v>
      </c>
      <c r="P28" s="5">
        <f t="shared" si="2"/>
        <v>0</v>
      </c>
      <c r="Q28">
        <f t="shared" si="3"/>
        <v>0</v>
      </c>
      <c r="R28">
        <f t="shared" si="4"/>
        <v>0</v>
      </c>
      <c r="S28">
        <f t="shared" si="5"/>
        <v>0</v>
      </c>
      <c r="T28">
        <f t="shared" si="6"/>
        <v>0</v>
      </c>
      <c r="U28">
        <f t="shared" si="7"/>
        <v>0</v>
      </c>
      <c r="V28">
        <f t="shared" si="8"/>
        <v>0</v>
      </c>
      <c r="W28">
        <f t="shared" si="9"/>
        <v>0</v>
      </c>
      <c r="X28">
        <f t="shared" si="10"/>
        <v>0</v>
      </c>
      <c r="Y28">
        <f t="shared" si="11"/>
        <v>0</v>
      </c>
      <c r="Z28">
        <f t="shared" si="12"/>
        <v>0</v>
      </c>
      <c r="AA28" t="str">
        <f>INDEX('Priority activities'!$D$5:$D$86,MATCH('Database for analysis'!C28,'Priority activities'!$C$5:$C$86,0))</f>
        <v>FP demand generation and behaviour change communication</v>
      </c>
    </row>
    <row r="29" spans="2:27" ht="16.5" thickTop="1" thickBot="1" x14ac:dyDescent="0.3">
      <c r="B29" t="s">
        <v>147</v>
      </c>
      <c r="C29" s="22" t="str">
        <f>'Costing inputs'!$C$57</f>
        <v>Radio and TV (D.1.2)</v>
      </c>
      <c r="D29" s="22" t="str">
        <f>'Costing inputs'!$U$59</f>
        <v>Central level</v>
      </c>
      <c r="E29" s="22">
        <f>'Regional splits'!$M$14</f>
        <v>0</v>
      </c>
      <c r="F29">
        <v>0</v>
      </c>
      <c r="G29">
        <v>0</v>
      </c>
      <c r="H29">
        <v>0</v>
      </c>
      <c r="I29">
        <v>0</v>
      </c>
      <c r="J29">
        <v>0</v>
      </c>
      <c r="K29">
        <v>0</v>
      </c>
      <c r="L29">
        <v>0</v>
      </c>
      <c r="M29">
        <v>0</v>
      </c>
      <c r="N29">
        <v>0</v>
      </c>
      <c r="O29">
        <v>0</v>
      </c>
      <c r="P29" s="5">
        <f t="shared" si="2"/>
        <v>0</v>
      </c>
      <c r="Q29">
        <f t="shared" si="3"/>
        <v>0</v>
      </c>
      <c r="R29">
        <f t="shared" si="4"/>
        <v>0</v>
      </c>
      <c r="S29">
        <f t="shared" si="5"/>
        <v>0</v>
      </c>
      <c r="T29">
        <f t="shared" si="6"/>
        <v>0</v>
      </c>
      <c r="U29">
        <f t="shared" si="7"/>
        <v>0</v>
      </c>
      <c r="V29">
        <f t="shared" si="8"/>
        <v>0</v>
      </c>
      <c r="W29">
        <f t="shared" si="9"/>
        <v>0</v>
      </c>
      <c r="X29">
        <f t="shared" si="10"/>
        <v>0</v>
      </c>
      <c r="Y29">
        <f t="shared" si="11"/>
        <v>0</v>
      </c>
      <c r="Z29">
        <f t="shared" si="12"/>
        <v>0</v>
      </c>
      <c r="AA29" t="str">
        <f>INDEX('Priority activities'!$D$5:$D$86,MATCH('Database for analysis'!C29,'Priority activities'!$C$5:$C$86,0))</f>
        <v>FP demand generation and behaviour change communication</v>
      </c>
    </row>
    <row r="30" spans="2:27" ht="16.5" thickTop="1" thickBot="1" x14ac:dyDescent="0.3">
      <c r="B30" t="s">
        <v>147</v>
      </c>
      <c r="C30" s="22" t="str">
        <f>'Costing inputs'!$C$57</f>
        <v>Radio and TV (D.1.2)</v>
      </c>
      <c r="D30" s="22" t="str">
        <f>'Costing inputs'!$U$59</f>
        <v>Central level</v>
      </c>
      <c r="E30" s="22">
        <f>'Regional splits'!$N$14</f>
        <v>0</v>
      </c>
      <c r="F30">
        <v>0</v>
      </c>
      <c r="G30">
        <v>0</v>
      </c>
      <c r="H30">
        <v>0</v>
      </c>
      <c r="I30">
        <v>0</v>
      </c>
      <c r="J30">
        <v>0</v>
      </c>
      <c r="K30">
        <v>0</v>
      </c>
      <c r="L30">
        <v>0</v>
      </c>
      <c r="M30">
        <v>0</v>
      </c>
      <c r="N30">
        <v>0</v>
      </c>
      <c r="O30">
        <v>0</v>
      </c>
      <c r="P30" s="5">
        <f t="shared" si="2"/>
        <v>0</v>
      </c>
      <c r="Q30">
        <f t="shared" si="3"/>
        <v>0</v>
      </c>
      <c r="R30">
        <f t="shared" si="4"/>
        <v>0</v>
      </c>
      <c r="S30">
        <f t="shared" si="5"/>
        <v>0</v>
      </c>
      <c r="T30">
        <f t="shared" si="6"/>
        <v>0</v>
      </c>
      <c r="U30">
        <f t="shared" si="7"/>
        <v>0</v>
      </c>
      <c r="V30">
        <f t="shared" si="8"/>
        <v>0</v>
      </c>
      <c r="W30">
        <f t="shared" si="9"/>
        <v>0</v>
      </c>
      <c r="X30">
        <f t="shared" si="10"/>
        <v>0</v>
      </c>
      <c r="Y30">
        <f t="shared" si="11"/>
        <v>0</v>
      </c>
      <c r="Z30">
        <f t="shared" si="12"/>
        <v>0</v>
      </c>
      <c r="AA30" t="str">
        <f>INDEX('Priority activities'!$D$5:$D$86,MATCH('Database for analysis'!C30,'Priority activities'!$C$5:$C$86,0))</f>
        <v>FP demand generation and behaviour change communication</v>
      </c>
    </row>
    <row r="31" spans="2:27" ht="16.5" thickTop="1" thickBot="1" x14ac:dyDescent="0.3">
      <c r="B31" t="s">
        <v>147</v>
      </c>
      <c r="C31" s="22" t="str">
        <f>'Costing inputs'!$C$57</f>
        <v>Radio and TV (D.1.2)</v>
      </c>
      <c r="D31" s="22" t="str">
        <f>'Costing inputs'!$U$59</f>
        <v>Central level</v>
      </c>
      <c r="E31" s="22">
        <f>'Regional splits'!$O$14</f>
        <v>0</v>
      </c>
      <c r="F31">
        <v>0</v>
      </c>
      <c r="G31">
        <v>0</v>
      </c>
      <c r="H31">
        <v>0</v>
      </c>
      <c r="I31">
        <v>0</v>
      </c>
      <c r="J31">
        <v>0</v>
      </c>
      <c r="K31">
        <v>0</v>
      </c>
      <c r="L31">
        <v>0</v>
      </c>
      <c r="M31">
        <v>0</v>
      </c>
      <c r="N31">
        <v>0</v>
      </c>
      <c r="O31">
        <v>0</v>
      </c>
      <c r="P31" s="5">
        <f t="shared" si="2"/>
        <v>0</v>
      </c>
      <c r="Q31">
        <f t="shared" si="3"/>
        <v>0</v>
      </c>
      <c r="R31">
        <f t="shared" si="4"/>
        <v>0</v>
      </c>
      <c r="S31">
        <f t="shared" si="5"/>
        <v>0</v>
      </c>
      <c r="T31">
        <f t="shared" si="6"/>
        <v>0</v>
      </c>
      <c r="U31">
        <f t="shared" si="7"/>
        <v>0</v>
      </c>
      <c r="V31">
        <f t="shared" si="8"/>
        <v>0</v>
      </c>
      <c r="W31">
        <f t="shared" si="9"/>
        <v>0</v>
      </c>
      <c r="X31">
        <f t="shared" si="10"/>
        <v>0</v>
      </c>
      <c r="Y31">
        <f t="shared" si="11"/>
        <v>0</v>
      </c>
      <c r="Z31">
        <f t="shared" si="12"/>
        <v>0</v>
      </c>
      <c r="AA31" t="str">
        <f>INDEX('Priority activities'!$D$5:$D$86,MATCH('Database for analysis'!C31,'Priority activities'!$C$5:$C$86,0))</f>
        <v>FP demand generation and behaviour change communication</v>
      </c>
    </row>
    <row r="32" spans="2:27" ht="16.5" thickTop="1" thickBot="1" x14ac:dyDescent="0.3">
      <c r="B32" t="s">
        <v>147</v>
      </c>
      <c r="C32" s="22" t="str">
        <f>'Costing inputs'!$C$57</f>
        <v>Radio and TV (D.1.2)</v>
      </c>
      <c r="D32" s="22" t="str">
        <f>'Costing inputs'!$U$59</f>
        <v>Central level</v>
      </c>
      <c r="E32" s="22">
        <f>'Regional splits'!$P$14</f>
        <v>0</v>
      </c>
      <c r="F32">
        <v>0</v>
      </c>
      <c r="G32">
        <v>0</v>
      </c>
      <c r="H32">
        <v>0</v>
      </c>
      <c r="I32">
        <v>0</v>
      </c>
      <c r="J32">
        <v>0</v>
      </c>
      <c r="K32">
        <v>0</v>
      </c>
      <c r="L32">
        <v>0</v>
      </c>
      <c r="M32">
        <v>0</v>
      </c>
      <c r="N32">
        <v>0</v>
      </c>
      <c r="O32">
        <v>0</v>
      </c>
      <c r="P32" s="5">
        <f t="shared" si="2"/>
        <v>0</v>
      </c>
      <c r="Q32">
        <f t="shared" si="3"/>
        <v>0</v>
      </c>
      <c r="R32">
        <f t="shared" si="4"/>
        <v>0</v>
      </c>
      <c r="S32">
        <f t="shared" si="5"/>
        <v>0</v>
      </c>
      <c r="T32">
        <f t="shared" si="6"/>
        <v>0</v>
      </c>
      <c r="U32">
        <f t="shared" si="7"/>
        <v>0</v>
      </c>
      <c r="V32">
        <f t="shared" si="8"/>
        <v>0</v>
      </c>
      <c r="W32">
        <f t="shared" si="9"/>
        <v>0</v>
      </c>
      <c r="X32">
        <f t="shared" si="10"/>
        <v>0</v>
      </c>
      <c r="Y32">
        <f t="shared" si="11"/>
        <v>0</v>
      </c>
      <c r="Z32">
        <f t="shared" si="12"/>
        <v>0</v>
      </c>
      <c r="AA32" t="str">
        <f>INDEX('Priority activities'!$D$5:$D$86,MATCH('Database for analysis'!C32,'Priority activities'!$C$5:$C$86,0))</f>
        <v>FP demand generation and behaviour change communication</v>
      </c>
    </row>
    <row r="33" spans="2:27" ht="16.5" thickTop="1" thickBot="1" x14ac:dyDescent="0.3">
      <c r="B33" t="s">
        <v>147</v>
      </c>
      <c r="C33" s="22" t="str">
        <f>'Costing inputs'!$C$57</f>
        <v>Radio and TV (D.1.2)</v>
      </c>
      <c r="D33" s="22" t="str">
        <f>'Costing inputs'!$U$59</f>
        <v>Central level</v>
      </c>
      <c r="E33" s="22">
        <f>'Regional splits'!$Q$14</f>
        <v>0</v>
      </c>
      <c r="F33">
        <v>0</v>
      </c>
      <c r="G33">
        <v>0</v>
      </c>
      <c r="H33">
        <v>0</v>
      </c>
      <c r="I33">
        <v>0</v>
      </c>
      <c r="J33">
        <v>0</v>
      </c>
      <c r="K33">
        <v>0</v>
      </c>
      <c r="L33">
        <v>0</v>
      </c>
      <c r="M33">
        <v>0</v>
      </c>
      <c r="N33">
        <v>0</v>
      </c>
      <c r="O33">
        <v>0</v>
      </c>
      <c r="P33" s="5">
        <f t="shared" si="2"/>
        <v>0</v>
      </c>
      <c r="Q33">
        <f t="shared" si="3"/>
        <v>0</v>
      </c>
      <c r="R33">
        <f t="shared" si="4"/>
        <v>0</v>
      </c>
      <c r="S33">
        <f t="shared" si="5"/>
        <v>0</v>
      </c>
      <c r="T33">
        <f t="shared" si="6"/>
        <v>0</v>
      </c>
      <c r="U33">
        <f t="shared" si="7"/>
        <v>0</v>
      </c>
      <c r="V33">
        <f t="shared" si="8"/>
        <v>0</v>
      </c>
      <c r="W33">
        <f t="shared" si="9"/>
        <v>0</v>
      </c>
      <c r="X33">
        <f t="shared" si="10"/>
        <v>0</v>
      </c>
      <c r="Y33">
        <f t="shared" si="11"/>
        <v>0</v>
      </c>
      <c r="Z33">
        <f t="shared" si="12"/>
        <v>0</v>
      </c>
      <c r="AA33" t="str">
        <f>INDEX('Priority activities'!$D$5:$D$86,MATCH('Database for analysis'!C33,'Priority activities'!$C$5:$C$86,0))</f>
        <v>FP demand generation and behaviour change communication</v>
      </c>
    </row>
    <row r="34" spans="2:27" ht="16.5" thickTop="1" thickBot="1" x14ac:dyDescent="0.3">
      <c r="B34" t="s">
        <v>147</v>
      </c>
      <c r="C34" s="22" t="str">
        <f>'Costing inputs'!$C$57</f>
        <v>Radio and TV (D.1.2)</v>
      </c>
      <c r="D34" s="22" t="str">
        <f>'Costing inputs'!$U$59</f>
        <v>Central level</v>
      </c>
      <c r="E34" s="22" t="str">
        <f>'Regional splits'!$R$14</f>
        <v>National-level</v>
      </c>
      <c r="F34">
        <v>0</v>
      </c>
      <c r="G34">
        <v>581900</v>
      </c>
      <c r="H34">
        <v>581900</v>
      </c>
      <c r="I34">
        <v>581900</v>
      </c>
      <c r="J34">
        <v>581900</v>
      </c>
      <c r="K34">
        <v>581900</v>
      </c>
      <c r="L34">
        <v>581900</v>
      </c>
      <c r="M34">
        <v>581900</v>
      </c>
      <c r="N34">
        <v>0</v>
      </c>
      <c r="O34">
        <v>0</v>
      </c>
      <c r="P34" s="5">
        <f t="shared" si="2"/>
        <v>4073300</v>
      </c>
      <c r="Q34">
        <f t="shared" si="3"/>
        <v>0</v>
      </c>
      <c r="R34">
        <f t="shared" si="4"/>
        <v>581900</v>
      </c>
      <c r="S34">
        <f t="shared" si="5"/>
        <v>581900</v>
      </c>
      <c r="T34">
        <f t="shared" si="6"/>
        <v>581900</v>
      </c>
      <c r="U34">
        <f t="shared" si="7"/>
        <v>581900</v>
      </c>
      <c r="V34">
        <f t="shared" si="8"/>
        <v>581900</v>
      </c>
      <c r="W34">
        <f t="shared" si="9"/>
        <v>581900</v>
      </c>
      <c r="X34">
        <f t="shared" si="10"/>
        <v>581900</v>
      </c>
      <c r="Y34">
        <f t="shared" si="11"/>
        <v>0</v>
      </c>
      <c r="Z34">
        <f t="shared" si="12"/>
        <v>0</v>
      </c>
      <c r="AA34" t="str">
        <f>INDEX('Priority activities'!$D$5:$D$86,MATCH('Database for analysis'!C34,'Priority activities'!$C$5:$C$86,0))</f>
        <v>FP demand generation and behaviour change communication</v>
      </c>
    </row>
    <row r="35" spans="2:27" ht="16.5" thickTop="1" thickBot="1" x14ac:dyDescent="0.3">
      <c r="B35" t="s">
        <v>147</v>
      </c>
      <c r="C35" s="22" t="str">
        <f>'Costing inputs'!$C$66</f>
        <v>Radio listening groups (D.1.2)</v>
      </c>
      <c r="D35" s="22" t="str">
        <f>'Costing inputs'!$U$66</f>
        <v>Health centres - rural</v>
      </c>
      <c r="E35" s="22" t="str">
        <f>'Regional splits'!$C$14</f>
        <v>Central</v>
      </c>
      <c r="F35">
        <f t="array" ref="F35:O50">'Costing inputs'!S66*'Costing inputs'!AP66:AY66*TRANSPOSE('Costing inputs'!W66:AL66)</f>
        <v>0</v>
      </c>
      <c r="G35">
        <v>89801.324503311262</v>
      </c>
      <c r="H35">
        <v>89801.324503311262</v>
      </c>
      <c r="I35">
        <v>89801.324503311262</v>
      </c>
      <c r="J35">
        <v>89801.324503311262</v>
      </c>
      <c r="K35">
        <v>89801.324503311262</v>
      </c>
      <c r="L35">
        <v>89801.324503311262</v>
      </c>
      <c r="M35">
        <v>89801.324503311262</v>
      </c>
      <c r="N35">
        <v>0</v>
      </c>
      <c r="O35">
        <v>0</v>
      </c>
      <c r="P35" s="5">
        <f t="shared" si="2"/>
        <v>628609.2715231789</v>
      </c>
      <c r="Q35">
        <f t="shared" si="3"/>
        <v>0</v>
      </c>
      <c r="R35">
        <f t="shared" si="4"/>
        <v>89801.324503311262</v>
      </c>
      <c r="S35">
        <f t="shared" si="5"/>
        <v>89801.324503311262</v>
      </c>
      <c r="T35">
        <f t="shared" si="6"/>
        <v>89801.324503311262</v>
      </c>
      <c r="U35">
        <f t="shared" si="7"/>
        <v>89801.324503311262</v>
      </c>
      <c r="V35">
        <f t="shared" si="8"/>
        <v>89801.324503311262</v>
      </c>
      <c r="W35">
        <f t="shared" si="9"/>
        <v>89801.324503311262</v>
      </c>
      <c r="X35">
        <f t="shared" si="10"/>
        <v>89801.324503311262</v>
      </c>
      <c r="Y35">
        <f t="shared" si="11"/>
        <v>0</v>
      </c>
      <c r="Z35">
        <f t="shared" si="12"/>
        <v>0</v>
      </c>
      <c r="AA35" t="str">
        <f>INDEX('Priority activities'!$D$5:$D$86,MATCH('Database for analysis'!C35,'Priority activities'!$C$5:$C$86,0))</f>
        <v>FP demand generation and behaviour change communication</v>
      </c>
    </row>
    <row r="36" spans="2:27" ht="16.5" thickTop="1" thickBot="1" x14ac:dyDescent="0.3">
      <c r="B36" t="s">
        <v>147</v>
      </c>
      <c r="C36" s="22" t="str">
        <f>'Costing inputs'!$C$66</f>
        <v>Radio listening groups (D.1.2)</v>
      </c>
      <c r="D36" s="22" t="str">
        <f>'Costing inputs'!$U$66</f>
        <v>Health centres - rural</v>
      </c>
      <c r="E36" s="22" t="str">
        <f>'Regional splits'!$D$14</f>
        <v>Copperbelt</v>
      </c>
      <c r="F36">
        <v>0</v>
      </c>
      <c r="G36">
        <v>42119.205298013243</v>
      </c>
      <c r="H36">
        <v>42119.205298013243</v>
      </c>
      <c r="I36">
        <v>42119.205298013243</v>
      </c>
      <c r="J36">
        <v>42119.205298013243</v>
      </c>
      <c r="K36">
        <v>42119.205298013243</v>
      </c>
      <c r="L36">
        <v>42119.205298013243</v>
      </c>
      <c r="M36">
        <v>42119.205298013243</v>
      </c>
      <c r="N36">
        <v>0</v>
      </c>
      <c r="O36">
        <v>0</v>
      </c>
      <c r="P36" s="5">
        <f t="shared" si="2"/>
        <v>294834.43708609266</v>
      </c>
      <c r="Q36">
        <f t="shared" si="3"/>
        <v>0</v>
      </c>
      <c r="R36">
        <f t="shared" si="4"/>
        <v>42119.205298013243</v>
      </c>
      <c r="S36">
        <f t="shared" si="5"/>
        <v>42119.205298013243</v>
      </c>
      <c r="T36">
        <f t="shared" si="6"/>
        <v>42119.205298013243</v>
      </c>
      <c r="U36">
        <f t="shared" si="7"/>
        <v>42119.205298013243</v>
      </c>
      <c r="V36">
        <f t="shared" si="8"/>
        <v>42119.205298013243</v>
      </c>
      <c r="W36">
        <f t="shared" si="9"/>
        <v>42119.205298013243</v>
      </c>
      <c r="X36">
        <f t="shared" si="10"/>
        <v>42119.205298013243</v>
      </c>
      <c r="Y36">
        <f t="shared" si="11"/>
        <v>0</v>
      </c>
      <c r="Z36">
        <f t="shared" si="12"/>
        <v>0</v>
      </c>
      <c r="AA36" t="str">
        <f>INDEX('Priority activities'!$D$5:$D$86,MATCH('Database for analysis'!C36,'Priority activities'!$C$5:$C$86,0))</f>
        <v>FP demand generation and behaviour change communication</v>
      </c>
    </row>
    <row r="37" spans="2:27" ht="16.5" thickTop="1" thickBot="1" x14ac:dyDescent="0.3">
      <c r="B37" t="s">
        <v>147</v>
      </c>
      <c r="C37" s="22" t="str">
        <f>'Costing inputs'!$C$66</f>
        <v>Radio listening groups (D.1.2)</v>
      </c>
      <c r="D37" s="22" t="str">
        <f>'Costing inputs'!$U$66</f>
        <v>Health centres - rural</v>
      </c>
      <c r="E37" s="22" t="str">
        <f>'Regional splits'!$E$14</f>
        <v>Eastern</v>
      </c>
      <c r="F37">
        <v>0</v>
      </c>
      <c r="G37">
        <v>108874.17218543046</v>
      </c>
      <c r="H37">
        <v>108874.17218543046</v>
      </c>
      <c r="I37">
        <v>108874.17218543046</v>
      </c>
      <c r="J37">
        <v>108874.17218543046</v>
      </c>
      <c r="K37">
        <v>108874.17218543046</v>
      </c>
      <c r="L37">
        <v>108874.17218543046</v>
      </c>
      <c r="M37">
        <v>108874.17218543046</v>
      </c>
      <c r="N37">
        <v>0</v>
      </c>
      <c r="O37">
        <v>0</v>
      </c>
      <c r="P37" s="5">
        <f t="shared" si="2"/>
        <v>762119.20529801317</v>
      </c>
      <c r="Q37">
        <f t="shared" si="3"/>
        <v>0</v>
      </c>
      <c r="R37">
        <f t="shared" si="4"/>
        <v>108874.17218543046</v>
      </c>
      <c r="S37">
        <f t="shared" si="5"/>
        <v>108874.17218543046</v>
      </c>
      <c r="T37">
        <f t="shared" si="6"/>
        <v>108874.17218543046</v>
      </c>
      <c r="U37">
        <f t="shared" si="7"/>
        <v>108874.17218543046</v>
      </c>
      <c r="V37">
        <f t="shared" si="8"/>
        <v>108874.17218543046</v>
      </c>
      <c r="W37">
        <f t="shared" si="9"/>
        <v>108874.17218543046</v>
      </c>
      <c r="X37">
        <f t="shared" si="10"/>
        <v>108874.17218543046</v>
      </c>
      <c r="Y37">
        <f t="shared" si="11"/>
        <v>0</v>
      </c>
      <c r="Z37">
        <f t="shared" si="12"/>
        <v>0</v>
      </c>
      <c r="AA37" t="str">
        <f>INDEX('Priority activities'!$D$5:$D$86,MATCH('Database for analysis'!C37,'Priority activities'!$C$5:$C$86,0))</f>
        <v>FP demand generation and behaviour change communication</v>
      </c>
    </row>
    <row r="38" spans="2:27" ht="16.5" thickTop="1" thickBot="1" x14ac:dyDescent="0.3">
      <c r="B38" t="s">
        <v>147</v>
      </c>
      <c r="C38" s="22" t="str">
        <f>'Costing inputs'!$C$66</f>
        <v>Radio listening groups (D.1.2)</v>
      </c>
      <c r="D38" s="22" t="str">
        <f>'Costing inputs'!$U$66</f>
        <v>Health centres - rural</v>
      </c>
      <c r="E38" s="22" t="str">
        <f>'Regional splits'!$F$14</f>
        <v>Luapula</v>
      </c>
      <c r="F38">
        <v>0</v>
      </c>
      <c r="G38">
        <v>99337.748344370862</v>
      </c>
      <c r="H38">
        <v>99337.748344370862</v>
      </c>
      <c r="I38">
        <v>99337.748344370862</v>
      </c>
      <c r="J38">
        <v>99337.748344370862</v>
      </c>
      <c r="K38">
        <v>99337.748344370862</v>
      </c>
      <c r="L38">
        <v>99337.748344370862</v>
      </c>
      <c r="M38">
        <v>99337.748344370862</v>
      </c>
      <c r="N38">
        <v>0</v>
      </c>
      <c r="O38">
        <v>0</v>
      </c>
      <c r="P38" s="5">
        <f t="shared" si="2"/>
        <v>695364.23841059604</v>
      </c>
      <c r="Q38">
        <f t="shared" si="3"/>
        <v>0</v>
      </c>
      <c r="R38">
        <f t="shared" si="4"/>
        <v>99337.748344370862</v>
      </c>
      <c r="S38">
        <f t="shared" si="5"/>
        <v>99337.748344370862</v>
      </c>
      <c r="T38">
        <f t="shared" si="6"/>
        <v>99337.748344370862</v>
      </c>
      <c r="U38">
        <f t="shared" si="7"/>
        <v>99337.748344370862</v>
      </c>
      <c r="V38">
        <f t="shared" si="8"/>
        <v>99337.748344370862</v>
      </c>
      <c r="W38">
        <f t="shared" si="9"/>
        <v>99337.748344370862</v>
      </c>
      <c r="X38">
        <f t="shared" si="10"/>
        <v>99337.748344370862</v>
      </c>
      <c r="Y38">
        <f t="shared" si="11"/>
        <v>0</v>
      </c>
      <c r="Z38">
        <f t="shared" si="12"/>
        <v>0</v>
      </c>
      <c r="AA38" t="str">
        <f>INDEX('Priority activities'!$D$5:$D$86,MATCH('Database for analysis'!C38,'Priority activities'!$C$5:$C$86,0))</f>
        <v>FP demand generation and behaviour change communication</v>
      </c>
    </row>
    <row r="39" spans="2:27" ht="16.5" thickTop="1" thickBot="1" x14ac:dyDescent="0.3">
      <c r="B39" t="s">
        <v>147</v>
      </c>
      <c r="C39" s="22" t="str">
        <f>'Costing inputs'!$C$66</f>
        <v>Radio listening groups (D.1.2)</v>
      </c>
      <c r="D39" s="22" t="str">
        <f>'Costing inputs'!$U$66</f>
        <v>Health centres - rural</v>
      </c>
      <c r="E39" s="22" t="str">
        <f>'Regional splits'!$G$14</f>
        <v>Lusaka</v>
      </c>
      <c r="F39">
        <v>0</v>
      </c>
      <c r="G39">
        <v>37350.993377483443</v>
      </c>
      <c r="H39">
        <v>37350.993377483443</v>
      </c>
      <c r="I39">
        <v>37350.993377483443</v>
      </c>
      <c r="J39">
        <v>37350.993377483443</v>
      </c>
      <c r="K39">
        <v>37350.993377483443</v>
      </c>
      <c r="L39">
        <v>37350.993377483443</v>
      </c>
      <c r="M39">
        <v>37350.993377483443</v>
      </c>
      <c r="N39">
        <v>0</v>
      </c>
      <c r="O39">
        <v>0</v>
      </c>
      <c r="P39" s="5">
        <f t="shared" si="2"/>
        <v>261456.95364238412</v>
      </c>
      <c r="Q39">
        <f t="shared" si="3"/>
        <v>0</v>
      </c>
      <c r="R39">
        <f t="shared" si="4"/>
        <v>37350.993377483443</v>
      </c>
      <c r="S39">
        <f t="shared" si="5"/>
        <v>37350.993377483443</v>
      </c>
      <c r="T39">
        <f t="shared" si="6"/>
        <v>37350.993377483443</v>
      </c>
      <c r="U39">
        <f t="shared" si="7"/>
        <v>37350.993377483443</v>
      </c>
      <c r="V39">
        <f t="shared" si="8"/>
        <v>37350.993377483443</v>
      </c>
      <c r="W39">
        <f t="shared" si="9"/>
        <v>37350.993377483443</v>
      </c>
      <c r="X39">
        <f t="shared" si="10"/>
        <v>37350.993377483443</v>
      </c>
      <c r="Y39">
        <f t="shared" si="11"/>
        <v>0</v>
      </c>
      <c r="Z39">
        <f t="shared" si="12"/>
        <v>0</v>
      </c>
      <c r="AA39" t="str">
        <f>INDEX('Priority activities'!$D$5:$D$86,MATCH('Database for analysis'!C39,'Priority activities'!$C$5:$C$86,0))</f>
        <v>FP demand generation and behaviour change communication</v>
      </c>
    </row>
    <row r="40" spans="2:27" ht="16.5" thickTop="1" thickBot="1" x14ac:dyDescent="0.3">
      <c r="B40" t="s">
        <v>147</v>
      </c>
      <c r="C40" s="22" t="str">
        <f>'Costing inputs'!$C$66</f>
        <v>Radio listening groups (D.1.2)</v>
      </c>
      <c r="D40" s="22" t="str">
        <f>'Costing inputs'!$U$66</f>
        <v>Health centres - rural</v>
      </c>
      <c r="E40" s="22" t="str">
        <f>'Regional splits'!$H$14</f>
        <v>Muchinga</v>
      </c>
      <c r="F40">
        <v>0</v>
      </c>
      <c r="G40">
        <v>56423.841059602652</v>
      </c>
      <c r="H40">
        <v>56423.841059602652</v>
      </c>
      <c r="I40">
        <v>56423.841059602652</v>
      </c>
      <c r="J40">
        <v>56423.841059602652</v>
      </c>
      <c r="K40">
        <v>56423.841059602652</v>
      </c>
      <c r="L40">
        <v>56423.841059602652</v>
      </c>
      <c r="M40">
        <v>56423.841059602652</v>
      </c>
      <c r="N40">
        <v>0</v>
      </c>
      <c r="O40">
        <v>0</v>
      </c>
      <c r="P40" s="5">
        <f t="shared" si="2"/>
        <v>394966.88741721865</v>
      </c>
      <c r="Q40">
        <f t="shared" si="3"/>
        <v>0</v>
      </c>
      <c r="R40">
        <f t="shared" si="4"/>
        <v>56423.841059602652</v>
      </c>
      <c r="S40">
        <f t="shared" si="5"/>
        <v>56423.841059602652</v>
      </c>
      <c r="T40">
        <f t="shared" si="6"/>
        <v>56423.841059602652</v>
      </c>
      <c r="U40">
        <f t="shared" si="7"/>
        <v>56423.841059602652</v>
      </c>
      <c r="V40">
        <f t="shared" si="8"/>
        <v>56423.841059602652</v>
      </c>
      <c r="W40">
        <f t="shared" si="9"/>
        <v>56423.841059602652</v>
      </c>
      <c r="X40">
        <f t="shared" si="10"/>
        <v>56423.841059602652</v>
      </c>
      <c r="Y40">
        <f t="shared" si="11"/>
        <v>0</v>
      </c>
      <c r="Z40">
        <f t="shared" si="12"/>
        <v>0</v>
      </c>
      <c r="AA40" t="str">
        <f>INDEX('Priority activities'!$D$5:$D$86,MATCH('Database for analysis'!C40,'Priority activities'!$C$5:$C$86,0))</f>
        <v>FP demand generation and behaviour change communication</v>
      </c>
    </row>
    <row r="41" spans="2:27" ht="16.5" thickTop="1" thickBot="1" x14ac:dyDescent="0.3">
      <c r="B41" t="s">
        <v>147</v>
      </c>
      <c r="C41" s="22" t="str">
        <f>'Costing inputs'!$C$66</f>
        <v>Radio listening groups (D.1.2)</v>
      </c>
      <c r="D41" s="22" t="str">
        <f>'Costing inputs'!$U$66</f>
        <v>Health centres - rural</v>
      </c>
      <c r="E41" s="22" t="str">
        <f>'Regional splits'!$I$14</f>
        <v>Northern</v>
      </c>
      <c r="F41">
        <v>0</v>
      </c>
      <c r="G41">
        <v>73907.284768211917</v>
      </c>
      <c r="H41">
        <v>73907.284768211917</v>
      </c>
      <c r="I41">
        <v>73907.284768211917</v>
      </c>
      <c r="J41">
        <v>73907.284768211917</v>
      </c>
      <c r="K41">
        <v>73907.284768211917</v>
      </c>
      <c r="L41">
        <v>73907.284768211917</v>
      </c>
      <c r="M41">
        <v>73907.284768211917</v>
      </c>
      <c r="N41">
        <v>0</v>
      </c>
      <c r="O41">
        <v>0</v>
      </c>
      <c r="P41" s="5">
        <f t="shared" si="2"/>
        <v>517350.99337748333</v>
      </c>
      <c r="Q41">
        <f t="shared" si="3"/>
        <v>0</v>
      </c>
      <c r="R41">
        <f t="shared" si="4"/>
        <v>73907.284768211917</v>
      </c>
      <c r="S41">
        <f t="shared" si="5"/>
        <v>73907.284768211917</v>
      </c>
      <c r="T41">
        <f t="shared" si="6"/>
        <v>73907.284768211917</v>
      </c>
      <c r="U41">
        <f t="shared" si="7"/>
        <v>73907.284768211917</v>
      </c>
      <c r="V41">
        <f t="shared" si="8"/>
        <v>73907.284768211917</v>
      </c>
      <c r="W41">
        <f t="shared" si="9"/>
        <v>73907.284768211917</v>
      </c>
      <c r="X41">
        <f t="shared" si="10"/>
        <v>73907.284768211917</v>
      </c>
      <c r="Y41">
        <f t="shared" si="11"/>
        <v>0</v>
      </c>
      <c r="Z41">
        <f t="shared" si="12"/>
        <v>0</v>
      </c>
      <c r="AA41" t="str">
        <f>INDEX('Priority activities'!$D$5:$D$86,MATCH('Database for analysis'!C41,'Priority activities'!$C$5:$C$86,0))</f>
        <v>FP demand generation and behaviour change communication</v>
      </c>
    </row>
    <row r="42" spans="2:27" ht="16.5" thickTop="1" thickBot="1" x14ac:dyDescent="0.3">
      <c r="B42" t="s">
        <v>147</v>
      </c>
      <c r="C42" s="22" t="str">
        <f>'Costing inputs'!$C$66</f>
        <v>Radio listening groups (D.1.2)</v>
      </c>
      <c r="D42" s="22" t="str">
        <f>'Costing inputs'!$U$66</f>
        <v>Health centres - rural</v>
      </c>
      <c r="E42" s="22" t="str">
        <f>'Regional splits'!$J$14</f>
        <v>North Western</v>
      </c>
      <c r="F42">
        <v>0</v>
      </c>
      <c r="G42">
        <v>95364.238410596037</v>
      </c>
      <c r="H42">
        <v>95364.238410596037</v>
      </c>
      <c r="I42">
        <v>95364.238410596037</v>
      </c>
      <c r="J42">
        <v>95364.238410596037</v>
      </c>
      <c r="K42">
        <v>95364.238410596037</v>
      </c>
      <c r="L42">
        <v>95364.238410596037</v>
      </c>
      <c r="M42">
        <v>95364.238410596037</v>
      </c>
      <c r="N42">
        <v>0</v>
      </c>
      <c r="O42">
        <v>0</v>
      </c>
      <c r="P42" s="5">
        <f t="shared" si="2"/>
        <v>667549.66887417226</v>
      </c>
      <c r="Q42">
        <f t="shared" si="3"/>
        <v>0</v>
      </c>
      <c r="R42">
        <f t="shared" si="4"/>
        <v>95364.238410596037</v>
      </c>
      <c r="S42">
        <f t="shared" si="5"/>
        <v>95364.238410596037</v>
      </c>
      <c r="T42">
        <f t="shared" si="6"/>
        <v>95364.238410596037</v>
      </c>
      <c r="U42">
        <f t="shared" si="7"/>
        <v>95364.238410596037</v>
      </c>
      <c r="V42">
        <f t="shared" si="8"/>
        <v>95364.238410596037</v>
      </c>
      <c r="W42">
        <f t="shared" si="9"/>
        <v>95364.238410596037</v>
      </c>
      <c r="X42">
        <f t="shared" si="10"/>
        <v>95364.238410596037</v>
      </c>
      <c r="Y42">
        <f t="shared" si="11"/>
        <v>0</v>
      </c>
      <c r="Z42">
        <f t="shared" si="12"/>
        <v>0</v>
      </c>
      <c r="AA42" t="str">
        <f>INDEX('Priority activities'!$D$5:$D$86,MATCH('Database for analysis'!C42,'Priority activities'!$C$5:$C$86,0))</f>
        <v>FP demand generation and behaviour change communication</v>
      </c>
    </row>
    <row r="43" spans="2:27" ht="16.5" thickTop="1" thickBot="1" x14ac:dyDescent="0.3">
      <c r="B43" t="s">
        <v>147</v>
      </c>
      <c r="C43" s="22" t="str">
        <f>'Costing inputs'!$C$66</f>
        <v>Radio listening groups (D.1.2)</v>
      </c>
      <c r="D43" s="22" t="str">
        <f>'Costing inputs'!$U$66</f>
        <v>Health centres - rural</v>
      </c>
      <c r="E43" s="22" t="str">
        <f>'Regional splits'!$K$14</f>
        <v>Southern</v>
      </c>
      <c r="F43">
        <v>0</v>
      </c>
      <c r="G43">
        <v>137483.44370860929</v>
      </c>
      <c r="H43">
        <v>137483.44370860929</v>
      </c>
      <c r="I43">
        <v>137483.44370860929</v>
      </c>
      <c r="J43">
        <v>137483.44370860929</v>
      </c>
      <c r="K43">
        <v>137483.44370860929</v>
      </c>
      <c r="L43">
        <v>137483.44370860929</v>
      </c>
      <c r="M43">
        <v>137483.44370860929</v>
      </c>
      <c r="N43">
        <v>0</v>
      </c>
      <c r="O43">
        <v>0</v>
      </c>
      <c r="P43" s="5">
        <f t="shared" si="2"/>
        <v>962384.10596026515</v>
      </c>
      <c r="Q43">
        <f t="shared" si="3"/>
        <v>0</v>
      </c>
      <c r="R43">
        <f t="shared" si="4"/>
        <v>137483.44370860929</v>
      </c>
      <c r="S43">
        <f t="shared" si="5"/>
        <v>137483.44370860929</v>
      </c>
      <c r="T43">
        <f t="shared" si="6"/>
        <v>137483.44370860929</v>
      </c>
      <c r="U43">
        <f t="shared" si="7"/>
        <v>137483.44370860929</v>
      </c>
      <c r="V43">
        <f t="shared" si="8"/>
        <v>137483.44370860929</v>
      </c>
      <c r="W43">
        <f t="shared" si="9"/>
        <v>137483.44370860929</v>
      </c>
      <c r="X43">
        <f t="shared" si="10"/>
        <v>137483.44370860929</v>
      </c>
      <c r="Y43">
        <f t="shared" si="11"/>
        <v>0</v>
      </c>
      <c r="Z43">
        <f t="shared" si="12"/>
        <v>0</v>
      </c>
      <c r="AA43" t="str">
        <f>INDEX('Priority activities'!$D$5:$D$86,MATCH('Database for analysis'!C43,'Priority activities'!$C$5:$C$86,0))</f>
        <v>FP demand generation and behaviour change communication</v>
      </c>
    </row>
    <row r="44" spans="2:27" ht="16.5" thickTop="1" thickBot="1" x14ac:dyDescent="0.3">
      <c r="B44" t="s">
        <v>147</v>
      </c>
      <c r="C44" s="22" t="str">
        <f>'Costing inputs'!$C$66</f>
        <v>Radio listening groups (D.1.2)</v>
      </c>
      <c r="D44" s="22" t="str">
        <f>'Costing inputs'!$U$66</f>
        <v>Health centres - rural</v>
      </c>
      <c r="E44" s="22" t="str">
        <f>'Regional splits'!$L$14</f>
        <v>Western</v>
      </c>
      <c r="F44">
        <v>0</v>
      </c>
      <c r="G44">
        <v>99337.748344370862</v>
      </c>
      <c r="H44">
        <v>99337.748344370862</v>
      </c>
      <c r="I44">
        <v>99337.748344370862</v>
      </c>
      <c r="J44">
        <v>99337.748344370862</v>
      </c>
      <c r="K44">
        <v>99337.748344370862</v>
      </c>
      <c r="L44">
        <v>99337.748344370862</v>
      </c>
      <c r="M44">
        <v>99337.748344370862</v>
      </c>
      <c r="N44">
        <v>0</v>
      </c>
      <c r="O44">
        <v>0</v>
      </c>
      <c r="P44" s="5">
        <f t="shared" si="2"/>
        <v>695364.23841059604</v>
      </c>
      <c r="Q44">
        <f t="shared" si="3"/>
        <v>0</v>
      </c>
      <c r="R44">
        <f t="shared" si="4"/>
        <v>99337.748344370862</v>
      </c>
      <c r="S44">
        <f t="shared" si="5"/>
        <v>99337.748344370862</v>
      </c>
      <c r="T44">
        <f t="shared" si="6"/>
        <v>99337.748344370862</v>
      </c>
      <c r="U44">
        <f t="shared" si="7"/>
        <v>99337.748344370862</v>
      </c>
      <c r="V44">
        <f t="shared" si="8"/>
        <v>99337.748344370862</v>
      </c>
      <c r="W44">
        <f t="shared" si="9"/>
        <v>99337.748344370862</v>
      </c>
      <c r="X44">
        <f t="shared" si="10"/>
        <v>99337.748344370862</v>
      </c>
      <c r="Y44">
        <f t="shared" si="11"/>
        <v>0</v>
      </c>
      <c r="Z44">
        <f t="shared" si="12"/>
        <v>0</v>
      </c>
      <c r="AA44" t="str">
        <f>INDEX('Priority activities'!$D$5:$D$86,MATCH('Database for analysis'!C44,'Priority activities'!$C$5:$C$86,0))</f>
        <v>FP demand generation and behaviour change communication</v>
      </c>
    </row>
    <row r="45" spans="2:27" ht="16.5" thickTop="1" thickBot="1" x14ac:dyDescent="0.3">
      <c r="B45" t="s">
        <v>147</v>
      </c>
      <c r="C45" s="22" t="str">
        <f>'Costing inputs'!$C$66</f>
        <v>Radio listening groups (D.1.2)</v>
      </c>
      <c r="D45" s="22" t="str">
        <f>'Costing inputs'!$U$66</f>
        <v>Health centres - rural</v>
      </c>
      <c r="E45" s="22">
        <f>'Regional splits'!$M$14</f>
        <v>0</v>
      </c>
      <c r="F45">
        <v>0</v>
      </c>
      <c r="G45">
        <v>0</v>
      </c>
      <c r="H45">
        <v>0</v>
      </c>
      <c r="I45">
        <v>0</v>
      </c>
      <c r="J45">
        <v>0</v>
      </c>
      <c r="K45">
        <v>0</v>
      </c>
      <c r="L45">
        <v>0</v>
      </c>
      <c r="M45">
        <v>0</v>
      </c>
      <c r="N45">
        <v>0</v>
      </c>
      <c r="O45">
        <v>0</v>
      </c>
      <c r="P45" s="5">
        <f t="shared" si="2"/>
        <v>0</v>
      </c>
      <c r="Q45">
        <f t="shared" si="3"/>
        <v>0</v>
      </c>
      <c r="R45">
        <f t="shared" si="4"/>
        <v>0</v>
      </c>
      <c r="S45">
        <f t="shared" si="5"/>
        <v>0</v>
      </c>
      <c r="T45">
        <f t="shared" si="6"/>
        <v>0</v>
      </c>
      <c r="U45">
        <f t="shared" si="7"/>
        <v>0</v>
      </c>
      <c r="V45">
        <f t="shared" si="8"/>
        <v>0</v>
      </c>
      <c r="W45">
        <f t="shared" si="9"/>
        <v>0</v>
      </c>
      <c r="X45">
        <f t="shared" si="10"/>
        <v>0</v>
      </c>
      <c r="Y45">
        <f t="shared" si="11"/>
        <v>0</v>
      </c>
      <c r="Z45">
        <f t="shared" si="12"/>
        <v>0</v>
      </c>
      <c r="AA45" t="str">
        <f>INDEX('Priority activities'!$D$5:$D$86,MATCH('Database for analysis'!C45,'Priority activities'!$C$5:$C$86,0))</f>
        <v>FP demand generation and behaviour change communication</v>
      </c>
    </row>
    <row r="46" spans="2:27" ht="16.5" thickTop="1" thickBot="1" x14ac:dyDescent="0.3">
      <c r="B46" t="s">
        <v>147</v>
      </c>
      <c r="C46" s="22" t="str">
        <f>'Costing inputs'!$C$66</f>
        <v>Radio listening groups (D.1.2)</v>
      </c>
      <c r="D46" s="22" t="str">
        <f>'Costing inputs'!$U$66</f>
        <v>Health centres - rural</v>
      </c>
      <c r="E46" s="22">
        <f>'Regional splits'!$N$14</f>
        <v>0</v>
      </c>
      <c r="F46">
        <v>0</v>
      </c>
      <c r="G46">
        <v>0</v>
      </c>
      <c r="H46">
        <v>0</v>
      </c>
      <c r="I46">
        <v>0</v>
      </c>
      <c r="J46">
        <v>0</v>
      </c>
      <c r="K46">
        <v>0</v>
      </c>
      <c r="L46">
        <v>0</v>
      </c>
      <c r="M46">
        <v>0</v>
      </c>
      <c r="N46">
        <v>0</v>
      </c>
      <c r="O46">
        <v>0</v>
      </c>
      <c r="P46" s="5">
        <f t="shared" si="2"/>
        <v>0</v>
      </c>
      <c r="Q46">
        <f t="shared" si="3"/>
        <v>0</v>
      </c>
      <c r="R46">
        <f t="shared" si="4"/>
        <v>0</v>
      </c>
      <c r="S46">
        <f t="shared" si="5"/>
        <v>0</v>
      </c>
      <c r="T46">
        <f t="shared" si="6"/>
        <v>0</v>
      </c>
      <c r="U46">
        <f t="shared" si="7"/>
        <v>0</v>
      </c>
      <c r="V46">
        <f t="shared" si="8"/>
        <v>0</v>
      </c>
      <c r="W46">
        <f t="shared" si="9"/>
        <v>0</v>
      </c>
      <c r="X46">
        <f t="shared" si="10"/>
        <v>0</v>
      </c>
      <c r="Y46">
        <f t="shared" si="11"/>
        <v>0</v>
      </c>
      <c r="Z46">
        <f t="shared" si="12"/>
        <v>0</v>
      </c>
      <c r="AA46" t="str">
        <f>INDEX('Priority activities'!$D$5:$D$86,MATCH('Database for analysis'!C46,'Priority activities'!$C$5:$C$86,0))</f>
        <v>FP demand generation and behaviour change communication</v>
      </c>
    </row>
    <row r="47" spans="2:27" ht="16.5" thickTop="1" thickBot="1" x14ac:dyDescent="0.3">
      <c r="B47" t="s">
        <v>147</v>
      </c>
      <c r="C47" s="22" t="str">
        <f>'Costing inputs'!$C$66</f>
        <v>Radio listening groups (D.1.2)</v>
      </c>
      <c r="D47" s="22" t="str">
        <f>'Costing inputs'!$U$66</f>
        <v>Health centres - rural</v>
      </c>
      <c r="E47" s="22">
        <f>'Regional splits'!$O$14</f>
        <v>0</v>
      </c>
      <c r="F47">
        <v>0</v>
      </c>
      <c r="G47">
        <v>0</v>
      </c>
      <c r="H47">
        <v>0</v>
      </c>
      <c r="I47">
        <v>0</v>
      </c>
      <c r="J47">
        <v>0</v>
      </c>
      <c r="K47">
        <v>0</v>
      </c>
      <c r="L47">
        <v>0</v>
      </c>
      <c r="M47">
        <v>0</v>
      </c>
      <c r="N47">
        <v>0</v>
      </c>
      <c r="O47">
        <v>0</v>
      </c>
      <c r="P47" s="5">
        <f t="shared" si="2"/>
        <v>0</v>
      </c>
      <c r="Q47">
        <f t="shared" si="3"/>
        <v>0</v>
      </c>
      <c r="R47">
        <f t="shared" si="4"/>
        <v>0</v>
      </c>
      <c r="S47">
        <f t="shared" si="5"/>
        <v>0</v>
      </c>
      <c r="T47">
        <f t="shared" si="6"/>
        <v>0</v>
      </c>
      <c r="U47">
        <f t="shared" si="7"/>
        <v>0</v>
      </c>
      <c r="V47">
        <f t="shared" si="8"/>
        <v>0</v>
      </c>
      <c r="W47">
        <f t="shared" si="9"/>
        <v>0</v>
      </c>
      <c r="X47">
        <f t="shared" si="10"/>
        <v>0</v>
      </c>
      <c r="Y47">
        <f t="shared" si="11"/>
        <v>0</v>
      </c>
      <c r="Z47">
        <f t="shared" si="12"/>
        <v>0</v>
      </c>
      <c r="AA47" t="str">
        <f>INDEX('Priority activities'!$D$5:$D$86,MATCH('Database for analysis'!C47,'Priority activities'!$C$5:$C$86,0))</f>
        <v>FP demand generation and behaviour change communication</v>
      </c>
    </row>
    <row r="48" spans="2:27" ht="16.5" thickTop="1" thickBot="1" x14ac:dyDescent="0.3">
      <c r="B48" t="s">
        <v>147</v>
      </c>
      <c r="C48" s="22" t="str">
        <f>'Costing inputs'!$C$66</f>
        <v>Radio listening groups (D.1.2)</v>
      </c>
      <c r="D48" s="22" t="str">
        <f>'Costing inputs'!$U$66</f>
        <v>Health centres - rural</v>
      </c>
      <c r="E48" s="22">
        <f>'Regional splits'!$P$14</f>
        <v>0</v>
      </c>
      <c r="F48">
        <v>0</v>
      </c>
      <c r="G48">
        <v>0</v>
      </c>
      <c r="H48">
        <v>0</v>
      </c>
      <c r="I48">
        <v>0</v>
      </c>
      <c r="J48">
        <v>0</v>
      </c>
      <c r="K48">
        <v>0</v>
      </c>
      <c r="L48">
        <v>0</v>
      </c>
      <c r="M48">
        <v>0</v>
      </c>
      <c r="N48">
        <v>0</v>
      </c>
      <c r="O48">
        <v>0</v>
      </c>
      <c r="P48" s="5">
        <f t="shared" si="2"/>
        <v>0</v>
      </c>
      <c r="Q48">
        <f t="shared" si="3"/>
        <v>0</v>
      </c>
      <c r="R48">
        <f t="shared" si="4"/>
        <v>0</v>
      </c>
      <c r="S48">
        <f t="shared" si="5"/>
        <v>0</v>
      </c>
      <c r="T48">
        <f t="shared" si="6"/>
        <v>0</v>
      </c>
      <c r="U48">
        <f t="shared" si="7"/>
        <v>0</v>
      </c>
      <c r="V48">
        <f t="shared" si="8"/>
        <v>0</v>
      </c>
      <c r="W48">
        <f t="shared" si="9"/>
        <v>0</v>
      </c>
      <c r="X48">
        <f t="shared" si="10"/>
        <v>0</v>
      </c>
      <c r="Y48">
        <f t="shared" si="11"/>
        <v>0</v>
      </c>
      <c r="Z48">
        <f t="shared" si="12"/>
        <v>0</v>
      </c>
      <c r="AA48" t="str">
        <f>INDEX('Priority activities'!$D$5:$D$86,MATCH('Database for analysis'!C48,'Priority activities'!$C$5:$C$86,0))</f>
        <v>FP demand generation and behaviour change communication</v>
      </c>
    </row>
    <row r="49" spans="2:27" ht="16.5" thickTop="1" thickBot="1" x14ac:dyDescent="0.3">
      <c r="B49" t="s">
        <v>147</v>
      </c>
      <c r="C49" s="22" t="str">
        <f>'Costing inputs'!$C$66</f>
        <v>Radio listening groups (D.1.2)</v>
      </c>
      <c r="D49" s="22" t="str">
        <f>'Costing inputs'!$U$66</f>
        <v>Health centres - rural</v>
      </c>
      <c r="E49" s="22">
        <f>'Regional splits'!$Q$14</f>
        <v>0</v>
      </c>
      <c r="F49">
        <v>0</v>
      </c>
      <c r="G49">
        <v>0</v>
      </c>
      <c r="H49">
        <v>0</v>
      </c>
      <c r="I49">
        <v>0</v>
      </c>
      <c r="J49">
        <v>0</v>
      </c>
      <c r="K49">
        <v>0</v>
      </c>
      <c r="L49">
        <v>0</v>
      </c>
      <c r="M49">
        <v>0</v>
      </c>
      <c r="N49">
        <v>0</v>
      </c>
      <c r="O49">
        <v>0</v>
      </c>
      <c r="P49" s="5">
        <f t="shared" si="2"/>
        <v>0</v>
      </c>
      <c r="Q49">
        <f t="shared" si="3"/>
        <v>0</v>
      </c>
      <c r="R49">
        <f t="shared" si="4"/>
        <v>0</v>
      </c>
      <c r="S49">
        <f t="shared" si="5"/>
        <v>0</v>
      </c>
      <c r="T49">
        <f t="shared" si="6"/>
        <v>0</v>
      </c>
      <c r="U49">
        <f t="shared" si="7"/>
        <v>0</v>
      </c>
      <c r="V49">
        <f t="shared" si="8"/>
        <v>0</v>
      </c>
      <c r="W49">
        <f t="shared" si="9"/>
        <v>0</v>
      </c>
      <c r="X49">
        <f t="shared" si="10"/>
        <v>0</v>
      </c>
      <c r="Y49">
        <f t="shared" si="11"/>
        <v>0</v>
      </c>
      <c r="Z49">
        <f t="shared" si="12"/>
        <v>0</v>
      </c>
      <c r="AA49" t="str">
        <f>INDEX('Priority activities'!$D$5:$D$86,MATCH('Database for analysis'!C49,'Priority activities'!$C$5:$C$86,0))</f>
        <v>FP demand generation and behaviour change communication</v>
      </c>
    </row>
    <row r="50" spans="2:27" ht="16.5" thickTop="1" thickBot="1" x14ac:dyDescent="0.3">
      <c r="B50" t="s">
        <v>147</v>
      </c>
      <c r="C50" s="22" t="str">
        <f>'Costing inputs'!$C$66</f>
        <v>Radio listening groups (D.1.2)</v>
      </c>
      <c r="D50" s="22" t="str">
        <f>'Costing inputs'!$U$66</f>
        <v>Health centres - rural</v>
      </c>
      <c r="E50" s="22" t="str">
        <f>'Regional splits'!$R$14</f>
        <v>National-level</v>
      </c>
      <c r="F50">
        <v>0</v>
      </c>
      <c r="G50">
        <v>0</v>
      </c>
      <c r="H50">
        <v>0</v>
      </c>
      <c r="I50">
        <v>0</v>
      </c>
      <c r="J50">
        <v>0</v>
      </c>
      <c r="K50">
        <v>0</v>
      </c>
      <c r="L50">
        <v>0</v>
      </c>
      <c r="M50">
        <v>0</v>
      </c>
      <c r="N50">
        <v>0</v>
      </c>
      <c r="O50">
        <v>0</v>
      </c>
      <c r="P50" s="5">
        <f t="shared" si="2"/>
        <v>0</v>
      </c>
      <c r="Q50">
        <f t="shared" si="3"/>
        <v>0</v>
      </c>
      <c r="R50">
        <f t="shared" si="4"/>
        <v>0</v>
      </c>
      <c r="S50">
        <f t="shared" si="5"/>
        <v>0</v>
      </c>
      <c r="T50">
        <f t="shared" si="6"/>
        <v>0</v>
      </c>
      <c r="U50">
        <f t="shared" si="7"/>
        <v>0</v>
      </c>
      <c r="V50">
        <f t="shared" si="8"/>
        <v>0</v>
      </c>
      <c r="W50">
        <f t="shared" si="9"/>
        <v>0</v>
      </c>
      <c r="X50">
        <f t="shared" si="10"/>
        <v>0</v>
      </c>
      <c r="Y50">
        <f t="shared" si="11"/>
        <v>0</v>
      </c>
      <c r="Z50">
        <f t="shared" si="12"/>
        <v>0</v>
      </c>
      <c r="AA50" t="str">
        <f>INDEX('Priority activities'!$D$5:$D$86,MATCH('Database for analysis'!C50,'Priority activities'!$C$5:$C$86,0))</f>
        <v>FP demand generation and behaviour change communication</v>
      </c>
    </row>
    <row r="51" spans="2:27" ht="16.5" thickTop="1" thickBot="1" x14ac:dyDescent="0.3">
      <c r="B51" t="s">
        <v>147</v>
      </c>
      <c r="C51" s="22" t="str">
        <f>'Costing inputs'!$C$70</f>
        <v>Advertising and printed materials (D.1.3)</v>
      </c>
      <c r="D51" s="22" t="str">
        <f>'Costing inputs'!$U$70</f>
        <v>Health facilities (service delivery points)</v>
      </c>
      <c r="E51" s="22" t="str">
        <f>'Regional splits'!$C$14</f>
        <v>Central</v>
      </c>
      <c r="F51">
        <f t="array" ref="F51:O66">'Costing inputs'!S70*'Costing inputs'!AP70:AY70*TRANSPOSE('Costing inputs'!W70:AL70)</f>
        <v>0</v>
      </c>
      <c r="G51">
        <v>1053282.7118644069</v>
      </c>
      <c r="H51">
        <v>0</v>
      </c>
      <c r="I51">
        <v>0</v>
      </c>
      <c r="J51">
        <v>1053282.7118644069</v>
      </c>
      <c r="K51">
        <v>0</v>
      </c>
      <c r="L51">
        <v>0</v>
      </c>
      <c r="M51">
        <v>1053282.7118644069</v>
      </c>
      <c r="N51">
        <v>0</v>
      </c>
      <c r="O51">
        <v>0</v>
      </c>
      <c r="P51" s="5">
        <f t="shared" si="2"/>
        <v>3159848.1355932206</v>
      </c>
      <c r="Q51">
        <f t="shared" si="3"/>
        <v>0</v>
      </c>
      <c r="R51">
        <f t="shared" si="4"/>
        <v>1053282.7118644069</v>
      </c>
      <c r="S51">
        <f t="shared" si="5"/>
        <v>0</v>
      </c>
      <c r="T51">
        <f t="shared" si="6"/>
        <v>0</v>
      </c>
      <c r="U51">
        <f t="shared" si="7"/>
        <v>1053282.7118644069</v>
      </c>
      <c r="V51">
        <f t="shared" si="8"/>
        <v>0</v>
      </c>
      <c r="W51">
        <f t="shared" si="9"/>
        <v>0</v>
      </c>
      <c r="X51">
        <f t="shared" si="10"/>
        <v>1053282.7118644069</v>
      </c>
      <c r="Y51">
        <f t="shared" si="11"/>
        <v>0</v>
      </c>
      <c r="Z51">
        <f t="shared" si="12"/>
        <v>0</v>
      </c>
      <c r="AA51" t="str">
        <f>INDEX('Priority activities'!$D$5:$D$86,MATCH('Database for analysis'!C51,'Priority activities'!$C$5:$C$86,0))</f>
        <v>FP demand generation and behaviour change communication</v>
      </c>
    </row>
    <row r="52" spans="2:27" ht="16.5" thickTop="1" thickBot="1" x14ac:dyDescent="0.3">
      <c r="B52" t="s">
        <v>147</v>
      </c>
      <c r="C52" s="22" t="str">
        <f>'Costing inputs'!$C$70</f>
        <v>Advertising and printed materials (D.1.3)</v>
      </c>
      <c r="D52" s="22" t="str">
        <f>'Costing inputs'!$U$70</f>
        <v>Health facilities (service delivery points)</v>
      </c>
      <c r="E52" s="22" t="str">
        <f>'Regional splits'!$D$14</f>
        <v>Copperbelt</v>
      </c>
      <c r="F52">
        <v>0</v>
      </c>
      <c r="G52">
        <v>1258087.6836158193</v>
      </c>
      <c r="H52">
        <v>0</v>
      </c>
      <c r="I52">
        <v>0</v>
      </c>
      <c r="J52">
        <v>1258087.6836158193</v>
      </c>
      <c r="K52">
        <v>0</v>
      </c>
      <c r="L52">
        <v>0</v>
      </c>
      <c r="M52">
        <v>1258087.6836158193</v>
      </c>
      <c r="N52">
        <v>0</v>
      </c>
      <c r="O52">
        <v>0</v>
      </c>
      <c r="P52" s="5">
        <f t="shared" si="2"/>
        <v>3774263.0508474577</v>
      </c>
      <c r="Q52">
        <f t="shared" si="3"/>
        <v>0</v>
      </c>
      <c r="R52">
        <f t="shared" si="4"/>
        <v>1258087.6836158193</v>
      </c>
      <c r="S52">
        <f t="shared" si="5"/>
        <v>0</v>
      </c>
      <c r="T52">
        <f t="shared" si="6"/>
        <v>0</v>
      </c>
      <c r="U52">
        <f t="shared" si="7"/>
        <v>1258087.6836158193</v>
      </c>
      <c r="V52">
        <f t="shared" si="8"/>
        <v>0</v>
      </c>
      <c r="W52">
        <f t="shared" si="9"/>
        <v>0</v>
      </c>
      <c r="X52">
        <f t="shared" si="10"/>
        <v>1258087.6836158193</v>
      </c>
      <c r="Y52">
        <f t="shared" si="11"/>
        <v>0</v>
      </c>
      <c r="Z52">
        <f t="shared" si="12"/>
        <v>0</v>
      </c>
      <c r="AA52" t="str">
        <f>INDEX('Priority activities'!$D$5:$D$86,MATCH('Database for analysis'!C52,'Priority activities'!$C$5:$C$86,0))</f>
        <v>FP demand generation and behaviour change communication</v>
      </c>
    </row>
    <row r="53" spans="2:27" ht="16.5" thickTop="1" thickBot="1" x14ac:dyDescent="0.3">
      <c r="B53" t="s">
        <v>147</v>
      </c>
      <c r="C53" s="22" t="str">
        <f>'Costing inputs'!$C$70</f>
        <v>Advertising and printed materials (D.1.3)</v>
      </c>
      <c r="D53" s="22" t="str">
        <f>'Costing inputs'!$U$70</f>
        <v>Health facilities (service delivery points)</v>
      </c>
      <c r="E53" s="22" t="str">
        <f>'Regional splits'!$E$14</f>
        <v>Eastern</v>
      </c>
      <c r="F53">
        <v>0</v>
      </c>
      <c r="G53">
        <v>1146907.8418079095</v>
      </c>
      <c r="H53">
        <v>0</v>
      </c>
      <c r="I53">
        <v>0</v>
      </c>
      <c r="J53">
        <v>1146907.8418079095</v>
      </c>
      <c r="K53">
        <v>0</v>
      </c>
      <c r="L53">
        <v>0</v>
      </c>
      <c r="M53">
        <v>1146907.8418079095</v>
      </c>
      <c r="N53">
        <v>0</v>
      </c>
      <c r="O53">
        <v>0</v>
      </c>
      <c r="P53" s="5">
        <f t="shared" si="2"/>
        <v>3440723.5254237289</v>
      </c>
      <c r="Q53">
        <f t="shared" si="3"/>
        <v>0</v>
      </c>
      <c r="R53">
        <f t="shared" si="4"/>
        <v>1146907.8418079095</v>
      </c>
      <c r="S53">
        <f t="shared" si="5"/>
        <v>0</v>
      </c>
      <c r="T53">
        <f t="shared" si="6"/>
        <v>0</v>
      </c>
      <c r="U53">
        <f t="shared" si="7"/>
        <v>1146907.8418079095</v>
      </c>
      <c r="V53">
        <f t="shared" si="8"/>
        <v>0</v>
      </c>
      <c r="W53">
        <f t="shared" si="9"/>
        <v>0</v>
      </c>
      <c r="X53">
        <f t="shared" si="10"/>
        <v>1146907.8418079095</v>
      </c>
      <c r="Y53">
        <f t="shared" si="11"/>
        <v>0</v>
      </c>
      <c r="Z53">
        <f t="shared" si="12"/>
        <v>0</v>
      </c>
      <c r="AA53" t="str">
        <f>INDEX('Priority activities'!$D$5:$D$86,MATCH('Database for analysis'!C53,'Priority activities'!$C$5:$C$86,0))</f>
        <v>FP demand generation and behaviour change communication</v>
      </c>
    </row>
    <row r="54" spans="2:27" ht="16.5" thickTop="1" thickBot="1" x14ac:dyDescent="0.3">
      <c r="B54" t="s">
        <v>147</v>
      </c>
      <c r="C54" s="22" t="str">
        <f>'Costing inputs'!$C$70</f>
        <v>Advertising and printed materials (D.1.3)</v>
      </c>
      <c r="D54" s="22" t="str">
        <f>'Costing inputs'!$U$70</f>
        <v>Health facilities (service delivery points)</v>
      </c>
      <c r="E54" s="22" t="str">
        <f>'Regional splits'!$F$14</f>
        <v>Luapula</v>
      </c>
      <c r="F54">
        <v>0</v>
      </c>
      <c r="G54">
        <v>795813.60451977409</v>
      </c>
      <c r="H54">
        <v>0</v>
      </c>
      <c r="I54">
        <v>0</v>
      </c>
      <c r="J54">
        <v>795813.60451977409</v>
      </c>
      <c r="K54">
        <v>0</v>
      </c>
      <c r="L54">
        <v>0</v>
      </c>
      <c r="M54">
        <v>795813.60451977409</v>
      </c>
      <c r="N54">
        <v>0</v>
      </c>
      <c r="O54">
        <v>0</v>
      </c>
      <c r="P54" s="5">
        <f t="shared" si="2"/>
        <v>2387440.8135593222</v>
      </c>
      <c r="Q54">
        <f t="shared" si="3"/>
        <v>0</v>
      </c>
      <c r="R54">
        <f t="shared" si="4"/>
        <v>795813.60451977409</v>
      </c>
      <c r="S54">
        <f t="shared" si="5"/>
        <v>0</v>
      </c>
      <c r="T54">
        <f t="shared" si="6"/>
        <v>0</v>
      </c>
      <c r="U54">
        <f t="shared" si="7"/>
        <v>795813.60451977409</v>
      </c>
      <c r="V54">
        <f t="shared" si="8"/>
        <v>0</v>
      </c>
      <c r="W54">
        <f t="shared" si="9"/>
        <v>0</v>
      </c>
      <c r="X54">
        <f t="shared" si="10"/>
        <v>795813.60451977409</v>
      </c>
      <c r="Y54">
        <f t="shared" si="11"/>
        <v>0</v>
      </c>
      <c r="Z54">
        <f t="shared" si="12"/>
        <v>0</v>
      </c>
      <c r="AA54" t="str">
        <f>INDEX('Priority activities'!$D$5:$D$86,MATCH('Database for analysis'!C54,'Priority activities'!$C$5:$C$86,0))</f>
        <v>FP demand generation and behaviour change communication</v>
      </c>
    </row>
    <row r="55" spans="2:27" ht="16.5" thickTop="1" thickBot="1" x14ac:dyDescent="0.3">
      <c r="B55" t="s">
        <v>147</v>
      </c>
      <c r="C55" s="22" t="str">
        <f>'Costing inputs'!$C$70</f>
        <v>Advertising and printed materials (D.1.3)</v>
      </c>
      <c r="D55" s="22" t="str">
        <f>'Costing inputs'!$U$70</f>
        <v>Health facilities (service delivery points)</v>
      </c>
      <c r="E55" s="22" t="str">
        <f>'Regional splits'!$G$14</f>
        <v>Lusaka</v>
      </c>
      <c r="F55">
        <v>0</v>
      </c>
      <c r="G55">
        <v>1527259.9322033899</v>
      </c>
      <c r="H55">
        <v>0</v>
      </c>
      <c r="I55">
        <v>0</v>
      </c>
      <c r="J55">
        <v>1527259.9322033899</v>
      </c>
      <c r="K55">
        <v>0</v>
      </c>
      <c r="L55">
        <v>0</v>
      </c>
      <c r="M55">
        <v>1527259.9322033899</v>
      </c>
      <c r="N55">
        <v>0</v>
      </c>
      <c r="O55">
        <v>0</v>
      </c>
      <c r="P55" s="5">
        <f t="shared" si="2"/>
        <v>4581779.79661017</v>
      </c>
      <c r="Q55">
        <f t="shared" si="3"/>
        <v>0</v>
      </c>
      <c r="R55">
        <f t="shared" si="4"/>
        <v>1527259.9322033899</v>
      </c>
      <c r="S55">
        <f t="shared" si="5"/>
        <v>0</v>
      </c>
      <c r="T55">
        <f t="shared" si="6"/>
        <v>0</v>
      </c>
      <c r="U55">
        <f t="shared" si="7"/>
        <v>1527259.9322033899</v>
      </c>
      <c r="V55">
        <f t="shared" si="8"/>
        <v>0</v>
      </c>
      <c r="W55">
        <f t="shared" si="9"/>
        <v>0</v>
      </c>
      <c r="X55">
        <f t="shared" si="10"/>
        <v>1527259.9322033899</v>
      </c>
      <c r="Y55">
        <f t="shared" si="11"/>
        <v>0</v>
      </c>
      <c r="Z55">
        <f t="shared" si="12"/>
        <v>0</v>
      </c>
      <c r="AA55" t="str">
        <f>INDEX('Priority activities'!$D$5:$D$86,MATCH('Database for analysis'!C55,'Priority activities'!$C$5:$C$86,0))</f>
        <v>FP demand generation and behaviour change communication</v>
      </c>
    </row>
    <row r="56" spans="2:27" ht="16.5" thickTop="1" thickBot="1" x14ac:dyDescent="0.3">
      <c r="B56" t="s">
        <v>147</v>
      </c>
      <c r="C56" s="22" t="str">
        <f>'Costing inputs'!$C$70</f>
        <v>Advertising and printed materials (D.1.3)</v>
      </c>
      <c r="D56" s="22" t="str">
        <f>'Costing inputs'!$U$70</f>
        <v>Health facilities (service delivery points)</v>
      </c>
      <c r="E56" s="22" t="str">
        <f>'Regional splits'!$H$14</f>
        <v>Muchinga</v>
      </c>
      <c r="F56">
        <v>0</v>
      </c>
      <c r="G56">
        <v>550047.63841807912</v>
      </c>
      <c r="H56">
        <v>0</v>
      </c>
      <c r="I56">
        <v>0</v>
      </c>
      <c r="J56">
        <v>550047.63841807912</v>
      </c>
      <c r="K56">
        <v>0</v>
      </c>
      <c r="L56">
        <v>0</v>
      </c>
      <c r="M56">
        <v>550047.63841807912</v>
      </c>
      <c r="N56">
        <v>0</v>
      </c>
      <c r="O56">
        <v>0</v>
      </c>
      <c r="P56" s="5">
        <f t="shared" si="2"/>
        <v>1650142.9152542374</v>
      </c>
      <c r="Q56">
        <f t="shared" si="3"/>
        <v>0</v>
      </c>
      <c r="R56">
        <f t="shared" si="4"/>
        <v>550047.63841807912</v>
      </c>
      <c r="S56">
        <f t="shared" si="5"/>
        <v>0</v>
      </c>
      <c r="T56">
        <f t="shared" si="6"/>
        <v>0</v>
      </c>
      <c r="U56">
        <f t="shared" si="7"/>
        <v>550047.63841807912</v>
      </c>
      <c r="V56">
        <f t="shared" si="8"/>
        <v>0</v>
      </c>
      <c r="W56">
        <f t="shared" si="9"/>
        <v>0</v>
      </c>
      <c r="X56">
        <f t="shared" si="10"/>
        <v>550047.63841807912</v>
      </c>
      <c r="Y56">
        <f t="shared" si="11"/>
        <v>0</v>
      </c>
      <c r="Z56">
        <f t="shared" si="12"/>
        <v>0</v>
      </c>
      <c r="AA56" t="str">
        <f>INDEX('Priority activities'!$D$5:$D$86,MATCH('Database for analysis'!C56,'Priority activities'!$C$5:$C$86,0))</f>
        <v>FP demand generation and behaviour change communication</v>
      </c>
    </row>
    <row r="57" spans="2:27" ht="16.5" thickTop="1" thickBot="1" x14ac:dyDescent="0.3">
      <c r="B57" t="s">
        <v>147</v>
      </c>
      <c r="C57" s="22" t="str">
        <f>'Costing inputs'!$C$70</f>
        <v>Advertising and printed materials (D.1.3)</v>
      </c>
      <c r="D57" s="22" t="str">
        <f>'Costing inputs'!$U$70</f>
        <v>Health facilities (service delivery points)</v>
      </c>
      <c r="E57" s="22" t="str">
        <f>'Regional splits'!$I$14</f>
        <v>Northern</v>
      </c>
      <c r="F57">
        <v>0</v>
      </c>
      <c r="G57">
        <v>789962.03389830515</v>
      </c>
      <c r="H57">
        <v>0</v>
      </c>
      <c r="I57">
        <v>0</v>
      </c>
      <c r="J57">
        <v>789962.03389830515</v>
      </c>
      <c r="K57">
        <v>0</v>
      </c>
      <c r="L57">
        <v>0</v>
      </c>
      <c r="M57">
        <v>789962.03389830515</v>
      </c>
      <c r="N57">
        <v>0</v>
      </c>
      <c r="O57">
        <v>0</v>
      </c>
      <c r="P57" s="5">
        <f t="shared" si="2"/>
        <v>2369886.1016949154</v>
      </c>
      <c r="Q57">
        <f t="shared" si="3"/>
        <v>0</v>
      </c>
      <c r="R57">
        <f t="shared" si="4"/>
        <v>789962.03389830515</v>
      </c>
      <c r="S57">
        <f t="shared" si="5"/>
        <v>0</v>
      </c>
      <c r="T57">
        <f t="shared" si="6"/>
        <v>0</v>
      </c>
      <c r="U57">
        <f t="shared" si="7"/>
        <v>789962.03389830515</v>
      </c>
      <c r="V57">
        <f t="shared" si="8"/>
        <v>0</v>
      </c>
      <c r="W57">
        <f t="shared" si="9"/>
        <v>0</v>
      </c>
      <c r="X57">
        <f t="shared" si="10"/>
        <v>789962.03389830515</v>
      </c>
      <c r="Y57">
        <f t="shared" si="11"/>
        <v>0</v>
      </c>
      <c r="Z57">
        <f t="shared" si="12"/>
        <v>0</v>
      </c>
      <c r="AA57" t="str">
        <f>INDEX('Priority activities'!$D$5:$D$86,MATCH('Database for analysis'!C57,'Priority activities'!$C$5:$C$86,0))</f>
        <v>FP demand generation and behaviour change communication</v>
      </c>
    </row>
    <row r="58" spans="2:27" ht="16.5" thickTop="1" thickBot="1" x14ac:dyDescent="0.3">
      <c r="B58" t="s">
        <v>147</v>
      </c>
      <c r="C58" s="22" t="str">
        <f>'Costing inputs'!$C$70</f>
        <v>Advertising and printed materials (D.1.3)</v>
      </c>
      <c r="D58" s="22" t="str">
        <f>'Costing inputs'!$U$70</f>
        <v>Health facilities (service delivery points)</v>
      </c>
      <c r="E58" s="22" t="str">
        <f>'Regional splits'!$J$14</f>
        <v>North Western</v>
      </c>
      <c r="F58">
        <v>0</v>
      </c>
      <c r="G58">
        <v>906993.44632768363</v>
      </c>
      <c r="H58">
        <v>0</v>
      </c>
      <c r="I58">
        <v>0</v>
      </c>
      <c r="J58">
        <v>906993.44632768363</v>
      </c>
      <c r="K58">
        <v>0</v>
      </c>
      <c r="L58">
        <v>0</v>
      </c>
      <c r="M58">
        <v>906993.44632768363</v>
      </c>
      <c r="N58">
        <v>0</v>
      </c>
      <c r="O58">
        <v>0</v>
      </c>
      <c r="P58" s="5">
        <f t="shared" si="2"/>
        <v>2720980.338983051</v>
      </c>
      <c r="Q58">
        <f t="shared" si="3"/>
        <v>0</v>
      </c>
      <c r="R58">
        <f t="shared" si="4"/>
        <v>906993.44632768363</v>
      </c>
      <c r="S58">
        <f t="shared" si="5"/>
        <v>0</v>
      </c>
      <c r="T58">
        <f t="shared" si="6"/>
        <v>0</v>
      </c>
      <c r="U58">
        <f t="shared" si="7"/>
        <v>906993.44632768363</v>
      </c>
      <c r="V58">
        <f t="shared" si="8"/>
        <v>0</v>
      </c>
      <c r="W58">
        <f t="shared" si="9"/>
        <v>0</v>
      </c>
      <c r="X58">
        <f t="shared" si="10"/>
        <v>906993.44632768363</v>
      </c>
      <c r="Y58">
        <f t="shared" si="11"/>
        <v>0</v>
      </c>
      <c r="Z58">
        <f t="shared" si="12"/>
        <v>0</v>
      </c>
      <c r="AA58" t="str">
        <f>INDEX('Priority activities'!$D$5:$D$86,MATCH('Database for analysis'!C58,'Priority activities'!$C$5:$C$86,0))</f>
        <v>FP demand generation and behaviour change communication</v>
      </c>
    </row>
    <row r="59" spans="2:27" ht="16.5" thickTop="1" thickBot="1" x14ac:dyDescent="0.3">
      <c r="B59" t="s">
        <v>147</v>
      </c>
      <c r="C59" s="22" t="str">
        <f>'Costing inputs'!$C$70</f>
        <v>Advertising and printed materials (D.1.3)</v>
      </c>
      <c r="D59" s="22" t="str">
        <f>'Costing inputs'!$U$70</f>
        <v>Health facilities (service delivery points)</v>
      </c>
      <c r="E59" s="22" t="str">
        <f>'Regional splits'!$K$14</f>
        <v>Southern</v>
      </c>
      <c r="F59">
        <v>0</v>
      </c>
      <c r="G59">
        <v>1392673.8079096044</v>
      </c>
      <c r="H59">
        <v>0</v>
      </c>
      <c r="I59">
        <v>0</v>
      </c>
      <c r="J59">
        <v>1392673.8079096044</v>
      </c>
      <c r="K59">
        <v>0</v>
      </c>
      <c r="L59">
        <v>0</v>
      </c>
      <c r="M59">
        <v>1392673.8079096044</v>
      </c>
      <c r="N59">
        <v>0</v>
      </c>
      <c r="O59">
        <v>0</v>
      </c>
      <c r="P59" s="5">
        <f t="shared" si="2"/>
        <v>4178021.4237288134</v>
      </c>
      <c r="Q59">
        <f t="shared" si="3"/>
        <v>0</v>
      </c>
      <c r="R59">
        <f t="shared" si="4"/>
        <v>1392673.8079096044</v>
      </c>
      <c r="S59">
        <f t="shared" si="5"/>
        <v>0</v>
      </c>
      <c r="T59">
        <f t="shared" si="6"/>
        <v>0</v>
      </c>
      <c r="U59">
        <f t="shared" si="7"/>
        <v>1392673.8079096044</v>
      </c>
      <c r="V59">
        <f t="shared" si="8"/>
        <v>0</v>
      </c>
      <c r="W59">
        <f t="shared" si="9"/>
        <v>0</v>
      </c>
      <c r="X59">
        <f t="shared" si="10"/>
        <v>1392673.8079096044</v>
      </c>
      <c r="Y59">
        <f t="shared" si="11"/>
        <v>0</v>
      </c>
      <c r="Z59">
        <f t="shared" si="12"/>
        <v>0</v>
      </c>
      <c r="AA59" t="str">
        <f>INDEX('Priority activities'!$D$5:$D$86,MATCH('Database for analysis'!C59,'Priority activities'!$C$5:$C$86,0))</f>
        <v>FP demand generation and behaviour change communication</v>
      </c>
    </row>
    <row r="60" spans="2:27" ht="16.5" thickTop="1" thickBot="1" x14ac:dyDescent="0.3">
      <c r="B60" t="s">
        <v>147</v>
      </c>
      <c r="C60" s="22" t="str">
        <f>'Costing inputs'!$C$70</f>
        <v>Advertising and printed materials (D.1.3)</v>
      </c>
      <c r="D60" s="22" t="str">
        <f>'Costing inputs'!$U$70</f>
        <v>Health facilities (service delivery points)</v>
      </c>
      <c r="E60" s="22" t="str">
        <f>'Regional splits'!$L$14</f>
        <v>Western</v>
      </c>
      <c r="F60">
        <v>0</v>
      </c>
      <c r="G60">
        <v>936251.29943502822</v>
      </c>
      <c r="H60">
        <v>0</v>
      </c>
      <c r="I60">
        <v>0</v>
      </c>
      <c r="J60">
        <v>936251.29943502822</v>
      </c>
      <c r="K60">
        <v>0</v>
      </c>
      <c r="L60">
        <v>0</v>
      </c>
      <c r="M60">
        <v>936251.29943502822</v>
      </c>
      <c r="N60">
        <v>0</v>
      </c>
      <c r="O60">
        <v>0</v>
      </c>
      <c r="P60" s="5">
        <f t="shared" si="2"/>
        <v>2808753.8983050846</v>
      </c>
      <c r="Q60">
        <f t="shared" si="3"/>
        <v>0</v>
      </c>
      <c r="R60">
        <f t="shared" si="4"/>
        <v>936251.29943502822</v>
      </c>
      <c r="S60">
        <f t="shared" si="5"/>
        <v>0</v>
      </c>
      <c r="T60">
        <f t="shared" si="6"/>
        <v>0</v>
      </c>
      <c r="U60">
        <f t="shared" si="7"/>
        <v>936251.29943502822</v>
      </c>
      <c r="V60">
        <f t="shared" si="8"/>
        <v>0</v>
      </c>
      <c r="W60">
        <f t="shared" si="9"/>
        <v>0</v>
      </c>
      <c r="X60">
        <f t="shared" si="10"/>
        <v>936251.29943502822</v>
      </c>
      <c r="Y60">
        <f t="shared" si="11"/>
        <v>0</v>
      </c>
      <c r="Z60">
        <f t="shared" si="12"/>
        <v>0</v>
      </c>
      <c r="AA60" t="str">
        <f>INDEX('Priority activities'!$D$5:$D$86,MATCH('Database for analysis'!C60,'Priority activities'!$C$5:$C$86,0))</f>
        <v>FP demand generation and behaviour change communication</v>
      </c>
    </row>
    <row r="61" spans="2:27" ht="16.5" thickTop="1" thickBot="1" x14ac:dyDescent="0.3">
      <c r="B61" t="s">
        <v>147</v>
      </c>
      <c r="C61" s="22" t="str">
        <f>'Costing inputs'!$C$70</f>
        <v>Advertising and printed materials (D.1.3)</v>
      </c>
      <c r="D61" s="22" t="str">
        <f>'Costing inputs'!$U$70</f>
        <v>Health facilities (service delivery points)</v>
      </c>
      <c r="E61" s="22">
        <f>'Regional splits'!$M$14</f>
        <v>0</v>
      </c>
      <c r="F61">
        <v>0</v>
      </c>
      <c r="G61">
        <v>0</v>
      </c>
      <c r="H61">
        <v>0</v>
      </c>
      <c r="I61">
        <v>0</v>
      </c>
      <c r="J61">
        <v>0</v>
      </c>
      <c r="K61">
        <v>0</v>
      </c>
      <c r="L61">
        <v>0</v>
      </c>
      <c r="M61">
        <v>0</v>
      </c>
      <c r="N61">
        <v>0</v>
      </c>
      <c r="O61">
        <v>0</v>
      </c>
      <c r="P61" s="5">
        <f t="shared" si="2"/>
        <v>0</v>
      </c>
      <c r="Q61">
        <f t="shared" si="3"/>
        <v>0</v>
      </c>
      <c r="R61">
        <f t="shared" si="4"/>
        <v>0</v>
      </c>
      <c r="S61">
        <f t="shared" si="5"/>
        <v>0</v>
      </c>
      <c r="T61">
        <f t="shared" si="6"/>
        <v>0</v>
      </c>
      <c r="U61">
        <f t="shared" si="7"/>
        <v>0</v>
      </c>
      <c r="V61">
        <f t="shared" si="8"/>
        <v>0</v>
      </c>
      <c r="W61">
        <f t="shared" si="9"/>
        <v>0</v>
      </c>
      <c r="X61">
        <f t="shared" si="10"/>
        <v>0</v>
      </c>
      <c r="Y61">
        <f t="shared" si="11"/>
        <v>0</v>
      </c>
      <c r="Z61">
        <f t="shared" si="12"/>
        <v>0</v>
      </c>
      <c r="AA61" t="str">
        <f>INDEX('Priority activities'!$D$5:$D$86,MATCH('Database for analysis'!C61,'Priority activities'!$C$5:$C$86,0))</f>
        <v>FP demand generation and behaviour change communication</v>
      </c>
    </row>
    <row r="62" spans="2:27" ht="16.5" thickTop="1" thickBot="1" x14ac:dyDescent="0.3">
      <c r="B62" t="s">
        <v>147</v>
      </c>
      <c r="C62" s="22" t="str">
        <f>'Costing inputs'!$C$70</f>
        <v>Advertising and printed materials (D.1.3)</v>
      </c>
      <c r="D62" s="22" t="str">
        <f>'Costing inputs'!$U$70</f>
        <v>Health facilities (service delivery points)</v>
      </c>
      <c r="E62" s="22">
        <f>'Regional splits'!$N$14</f>
        <v>0</v>
      </c>
      <c r="F62">
        <v>0</v>
      </c>
      <c r="G62">
        <v>0</v>
      </c>
      <c r="H62">
        <v>0</v>
      </c>
      <c r="I62">
        <v>0</v>
      </c>
      <c r="J62">
        <v>0</v>
      </c>
      <c r="K62">
        <v>0</v>
      </c>
      <c r="L62">
        <v>0</v>
      </c>
      <c r="M62">
        <v>0</v>
      </c>
      <c r="N62">
        <v>0</v>
      </c>
      <c r="O62">
        <v>0</v>
      </c>
      <c r="P62" s="5">
        <f t="shared" si="2"/>
        <v>0</v>
      </c>
      <c r="Q62">
        <f t="shared" si="3"/>
        <v>0</v>
      </c>
      <c r="R62">
        <f t="shared" si="4"/>
        <v>0</v>
      </c>
      <c r="S62">
        <f t="shared" si="5"/>
        <v>0</v>
      </c>
      <c r="T62">
        <f t="shared" si="6"/>
        <v>0</v>
      </c>
      <c r="U62">
        <f t="shared" si="7"/>
        <v>0</v>
      </c>
      <c r="V62">
        <f t="shared" si="8"/>
        <v>0</v>
      </c>
      <c r="W62">
        <f t="shared" si="9"/>
        <v>0</v>
      </c>
      <c r="X62">
        <f t="shared" si="10"/>
        <v>0</v>
      </c>
      <c r="Y62">
        <f t="shared" si="11"/>
        <v>0</v>
      </c>
      <c r="Z62">
        <f t="shared" si="12"/>
        <v>0</v>
      </c>
      <c r="AA62" t="str">
        <f>INDEX('Priority activities'!$D$5:$D$86,MATCH('Database for analysis'!C62,'Priority activities'!$C$5:$C$86,0))</f>
        <v>FP demand generation and behaviour change communication</v>
      </c>
    </row>
    <row r="63" spans="2:27" ht="16.5" thickTop="1" thickBot="1" x14ac:dyDescent="0.3">
      <c r="B63" t="s">
        <v>147</v>
      </c>
      <c r="C63" s="22" t="str">
        <f>'Costing inputs'!$C$70</f>
        <v>Advertising and printed materials (D.1.3)</v>
      </c>
      <c r="D63" s="22" t="str">
        <f>'Costing inputs'!$U$70</f>
        <v>Health facilities (service delivery points)</v>
      </c>
      <c r="E63" s="22">
        <f>'Regional splits'!$O$14</f>
        <v>0</v>
      </c>
      <c r="F63">
        <v>0</v>
      </c>
      <c r="G63">
        <v>0</v>
      </c>
      <c r="H63">
        <v>0</v>
      </c>
      <c r="I63">
        <v>0</v>
      </c>
      <c r="J63">
        <v>0</v>
      </c>
      <c r="K63">
        <v>0</v>
      </c>
      <c r="L63">
        <v>0</v>
      </c>
      <c r="M63">
        <v>0</v>
      </c>
      <c r="N63">
        <v>0</v>
      </c>
      <c r="O63">
        <v>0</v>
      </c>
      <c r="P63" s="5">
        <f t="shared" si="2"/>
        <v>0</v>
      </c>
      <c r="Q63">
        <f t="shared" si="3"/>
        <v>0</v>
      </c>
      <c r="R63">
        <f t="shared" si="4"/>
        <v>0</v>
      </c>
      <c r="S63">
        <f t="shared" si="5"/>
        <v>0</v>
      </c>
      <c r="T63">
        <f t="shared" si="6"/>
        <v>0</v>
      </c>
      <c r="U63">
        <f t="shared" si="7"/>
        <v>0</v>
      </c>
      <c r="V63">
        <f t="shared" si="8"/>
        <v>0</v>
      </c>
      <c r="W63">
        <f t="shared" si="9"/>
        <v>0</v>
      </c>
      <c r="X63">
        <f t="shared" si="10"/>
        <v>0</v>
      </c>
      <c r="Y63">
        <f t="shared" si="11"/>
        <v>0</v>
      </c>
      <c r="Z63">
        <f t="shared" si="12"/>
        <v>0</v>
      </c>
      <c r="AA63" t="str">
        <f>INDEX('Priority activities'!$D$5:$D$86,MATCH('Database for analysis'!C63,'Priority activities'!$C$5:$C$86,0))</f>
        <v>FP demand generation and behaviour change communication</v>
      </c>
    </row>
    <row r="64" spans="2:27" ht="16.5" thickTop="1" thickBot="1" x14ac:dyDescent="0.3">
      <c r="B64" t="s">
        <v>147</v>
      </c>
      <c r="C64" s="22" t="str">
        <f>'Costing inputs'!$C$70</f>
        <v>Advertising and printed materials (D.1.3)</v>
      </c>
      <c r="D64" s="22" t="str">
        <f>'Costing inputs'!$U$70</f>
        <v>Health facilities (service delivery points)</v>
      </c>
      <c r="E64" s="22">
        <f>'Regional splits'!$P$14</f>
        <v>0</v>
      </c>
      <c r="F64">
        <v>0</v>
      </c>
      <c r="G64">
        <v>0</v>
      </c>
      <c r="H64">
        <v>0</v>
      </c>
      <c r="I64">
        <v>0</v>
      </c>
      <c r="J64">
        <v>0</v>
      </c>
      <c r="K64">
        <v>0</v>
      </c>
      <c r="L64">
        <v>0</v>
      </c>
      <c r="M64">
        <v>0</v>
      </c>
      <c r="N64">
        <v>0</v>
      </c>
      <c r="O64">
        <v>0</v>
      </c>
      <c r="P64" s="5">
        <f t="shared" si="2"/>
        <v>0</v>
      </c>
      <c r="Q64">
        <f t="shared" si="3"/>
        <v>0</v>
      </c>
      <c r="R64">
        <f t="shared" si="4"/>
        <v>0</v>
      </c>
      <c r="S64">
        <f t="shared" si="5"/>
        <v>0</v>
      </c>
      <c r="T64">
        <f t="shared" si="6"/>
        <v>0</v>
      </c>
      <c r="U64">
        <f t="shared" si="7"/>
        <v>0</v>
      </c>
      <c r="V64">
        <f t="shared" si="8"/>
        <v>0</v>
      </c>
      <c r="W64">
        <f t="shared" si="9"/>
        <v>0</v>
      </c>
      <c r="X64">
        <f t="shared" si="10"/>
        <v>0</v>
      </c>
      <c r="Y64">
        <f t="shared" si="11"/>
        <v>0</v>
      </c>
      <c r="Z64">
        <f t="shared" si="12"/>
        <v>0</v>
      </c>
      <c r="AA64" t="str">
        <f>INDEX('Priority activities'!$D$5:$D$86,MATCH('Database for analysis'!C64,'Priority activities'!$C$5:$C$86,0))</f>
        <v>FP demand generation and behaviour change communication</v>
      </c>
    </row>
    <row r="65" spans="2:27" ht="16.5" thickTop="1" thickBot="1" x14ac:dyDescent="0.3">
      <c r="B65" t="s">
        <v>147</v>
      </c>
      <c r="C65" s="22" t="str">
        <f>'Costing inputs'!$C$70</f>
        <v>Advertising and printed materials (D.1.3)</v>
      </c>
      <c r="D65" s="22" t="str">
        <f>'Costing inputs'!$U$70</f>
        <v>Health facilities (service delivery points)</v>
      </c>
      <c r="E65" s="22">
        <f>'Regional splits'!$Q$14</f>
        <v>0</v>
      </c>
      <c r="F65">
        <v>0</v>
      </c>
      <c r="G65">
        <v>0</v>
      </c>
      <c r="H65">
        <v>0</v>
      </c>
      <c r="I65">
        <v>0</v>
      </c>
      <c r="J65">
        <v>0</v>
      </c>
      <c r="K65">
        <v>0</v>
      </c>
      <c r="L65">
        <v>0</v>
      </c>
      <c r="M65">
        <v>0</v>
      </c>
      <c r="N65">
        <v>0</v>
      </c>
      <c r="O65">
        <v>0</v>
      </c>
      <c r="P65" s="5">
        <f t="shared" si="2"/>
        <v>0</v>
      </c>
      <c r="Q65">
        <f t="shared" si="3"/>
        <v>0</v>
      </c>
      <c r="R65">
        <f t="shared" si="4"/>
        <v>0</v>
      </c>
      <c r="S65">
        <f t="shared" si="5"/>
        <v>0</v>
      </c>
      <c r="T65">
        <f t="shared" si="6"/>
        <v>0</v>
      </c>
      <c r="U65">
        <f t="shared" si="7"/>
        <v>0</v>
      </c>
      <c r="V65">
        <f t="shared" si="8"/>
        <v>0</v>
      </c>
      <c r="W65">
        <f t="shared" si="9"/>
        <v>0</v>
      </c>
      <c r="X65">
        <f t="shared" si="10"/>
        <v>0</v>
      </c>
      <c r="Y65">
        <f t="shared" si="11"/>
        <v>0</v>
      </c>
      <c r="Z65">
        <f t="shared" si="12"/>
        <v>0</v>
      </c>
      <c r="AA65" t="str">
        <f>INDEX('Priority activities'!$D$5:$D$86,MATCH('Database for analysis'!C65,'Priority activities'!$C$5:$C$86,0))</f>
        <v>FP demand generation and behaviour change communication</v>
      </c>
    </row>
    <row r="66" spans="2:27" ht="16.5" thickTop="1" thickBot="1" x14ac:dyDescent="0.3">
      <c r="B66" t="s">
        <v>147</v>
      </c>
      <c r="C66" s="22" t="str">
        <f>'Costing inputs'!$C$70</f>
        <v>Advertising and printed materials (D.1.3)</v>
      </c>
      <c r="D66" s="22" t="str">
        <f>'Costing inputs'!$U$70</f>
        <v>Health facilities (service delivery points)</v>
      </c>
      <c r="E66" s="22" t="str">
        <f>'Regional splits'!$R$14</f>
        <v>National-level</v>
      </c>
      <c r="F66">
        <v>0</v>
      </c>
      <c r="G66">
        <v>0</v>
      </c>
      <c r="H66">
        <v>0</v>
      </c>
      <c r="I66">
        <v>0</v>
      </c>
      <c r="J66">
        <v>0</v>
      </c>
      <c r="K66">
        <v>0</v>
      </c>
      <c r="L66">
        <v>0</v>
      </c>
      <c r="M66">
        <v>0</v>
      </c>
      <c r="N66">
        <v>0</v>
      </c>
      <c r="O66">
        <v>0</v>
      </c>
      <c r="P66" s="5">
        <f t="shared" si="2"/>
        <v>0</v>
      </c>
      <c r="Q66">
        <f t="shared" si="3"/>
        <v>0</v>
      </c>
      <c r="R66">
        <f t="shared" si="4"/>
        <v>0</v>
      </c>
      <c r="S66">
        <f t="shared" si="5"/>
        <v>0</v>
      </c>
      <c r="T66">
        <f t="shared" si="6"/>
        <v>0</v>
      </c>
      <c r="U66">
        <f t="shared" si="7"/>
        <v>0</v>
      </c>
      <c r="V66">
        <f t="shared" si="8"/>
        <v>0</v>
      </c>
      <c r="W66">
        <f t="shared" si="9"/>
        <v>0</v>
      </c>
      <c r="X66">
        <f t="shared" si="10"/>
        <v>0</v>
      </c>
      <c r="Y66">
        <f t="shared" si="11"/>
        <v>0</v>
      </c>
      <c r="Z66">
        <f t="shared" si="12"/>
        <v>0</v>
      </c>
      <c r="AA66" t="str">
        <f>INDEX('Priority activities'!$D$5:$D$86,MATCH('Database for analysis'!C66,'Priority activities'!$C$5:$C$86,0))</f>
        <v>FP demand generation and behaviour change communication</v>
      </c>
    </row>
    <row r="67" spans="2:27" ht="16.5" thickTop="1" thickBot="1" x14ac:dyDescent="0.3">
      <c r="B67" t="s">
        <v>147</v>
      </c>
      <c r="C67" s="22" t="str">
        <f>'Costing inputs'!$C$80</f>
        <v>Press (D.1.2)</v>
      </c>
      <c r="D67" s="22" t="str">
        <f>'Costing inputs'!$U$80</f>
        <v>Central level</v>
      </c>
      <c r="E67" s="22" t="str">
        <f>'Regional splits'!$C$14</f>
        <v>Central</v>
      </c>
      <c r="F67">
        <f t="array" ref="F67:O82">'Costing inputs'!S80*'Costing inputs'!AP80:AY80*TRANSPOSE('Costing inputs'!W80:AL80)</f>
        <v>0</v>
      </c>
      <c r="G67">
        <v>0</v>
      </c>
      <c r="H67">
        <v>0</v>
      </c>
      <c r="I67">
        <v>0</v>
      </c>
      <c r="J67">
        <v>0</v>
      </c>
      <c r="K67">
        <v>0</v>
      </c>
      <c r="L67">
        <v>0</v>
      </c>
      <c r="M67">
        <v>0</v>
      </c>
      <c r="N67">
        <v>0</v>
      </c>
      <c r="O67">
        <v>0</v>
      </c>
      <c r="P67" s="5">
        <f t="shared" si="2"/>
        <v>0</v>
      </c>
      <c r="Q67">
        <f t="shared" si="3"/>
        <v>0</v>
      </c>
      <c r="R67">
        <f t="shared" si="4"/>
        <v>0</v>
      </c>
      <c r="S67">
        <f t="shared" si="5"/>
        <v>0</v>
      </c>
      <c r="T67">
        <f t="shared" si="6"/>
        <v>0</v>
      </c>
      <c r="U67">
        <f t="shared" si="7"/>
        <v>0</v>
      </c>
      <c r="V67">
        <f t="shared" si="8"/>
        <v>0</v>
      </c>
      <c r="W67">
        <f t="shared" si="9"/>
        <v>0</v>
      </c>
      <c r="X67">
        <f t="shared" si="10"/>
        <v>0</v>
      </c>
      <c r="Y67">
        <f t="shared" si="11"/>
        <v>0</v>
      </c>
      <c r="Z67">
        <f t="shared" si="12"/>
        <v>0</v>
      </c>
      <c r="AA67" t="str">
        <f>INDEX('Priority activities'!$D$5:$D$86,MATCH('Database for analysis'!C67,'Priority activities'!$C$5:$C$86,0))</f>
        <v>FP demand generation and behaviour change communication</v>
      </c>
    </row>
    <row r="68" spans="2:27" ht="16.5" thickTop="1" thickBot="1" x14ac:dyDescent="0.3">
      <c r="B68" t="s">
        <v>147</v>
      </c>
      <c r="C68" s="22" t="str">
        <f>'Costing inputs'!$C$80</f>
        <v>Press (D.1.2)</v>
      </c>
      <c r="D68" s="22" t="str">
        <f>'Costing inputs'!$U$80</f>
        <v>Central level</v>
      </c>
      <c r="E68" s="22" t="str">
        <f>'Regional splits'!$D$14</f>
        <v>Copperbelt</v>
      </c>
      <c r="F68">
        <v>0</v>
      </c>
      <c r="G68">
        <v>0</v>
      </c>
      <c r="H68">
        <v>0</v>
      </c>
      <c r="I68">
        <v>0</v>
      </c>
      <c r="J68">
        <v>0</v>
      </c>
      <c r="K68">
        <v>0</v>
      </c>
      <c r="L68">
        <v>0</v>
      </c>
      <c r="M68">
        <v>0</v>
      </c>
      <c r="N68">
        <v>0</v>
      </c>
      <c r="O68">
        <v>0</v>
      </c>
      <c r="P68" s="5">
        <f t="shared" ref="P68:P131" si="13">SUMIF(F68:O68,"&lt;&gt;#N/A")</f>
        <v>0</v>
      </c>
      <c r="Q68">
        <f t="shared" ref="Q68:Q131" si="14">IF(ISNA(F68),0,F68)</f>
        <v>0</v>
      </c>
      <c r="R68">
        <f t="shared" ref="R68:R131" si="15">IF(ISNA(G68),0,G68)</f>
        <v>0</v>
      </c>
      <c r="S68">
        <f t="shared" ref="S68:S131" si="16">IF(ISNA(H68),0,H68)</f>
        <v>0</v>
      </c>
      <c r="T68">
        <f t="shared" ref="T68:T131" si="17">IF(ISNA(I68),0,I68)</f>
        <v>0</v>
      </c>
      <c r="U68">
        <f t="shared" ref="U68:U131" si="18">IF(ISNA(J68),0,J68)</f>
        <v>0</v>
      </c>
      <c r="V68">
        <f t="shared" ref="V68:V131" si="19">IF(ISNA(K68),0,K68)</f>
        <v>0</v>
      </c>
      <c r="W68">
        <f t="shared" ref="W68:W131" si="20">IF(ISNA(L68),0,L68)</f>
        <v>0</v>
      </c>
      <c r="X68">
        <f t="shared" ref="X68:X131" si="21">IF(ISNA(M68),0,M68)</f>
        <v>0</v>
      </c>
      <c r="Y68">
        <f t="shared" ref="Y68:Y131" si="22">IF(ISNA(N68),0,N68)</f>
        <v>0</v>
      </c>
      <c r="Z68">
        <f t="shared" ref="Z68:Z131" si="23">IF(ISNA(O68),0,O68)</f>
        <v>0</v>
      </c>
      <c r="AA68" t="str">
        <f>INDEX('Priority activities'!$D$5:$D$86,MATCH('Database for analysis'!C68,'Priority activities'!$C$5:$C$86,0))</f>
        <v>FP demand generation and behaviour change communication</v>
      </c>
    </row>
    <row r="69" spans="2:27" ht="16.5" thickTop="1" thickBot="1" x14ac:dyDescent="0.3">
      <c r="B69" t="s">
        <v>147</v>
      </c>
      <c r="C69" s="22" t="str">
        <f>'Costing inputs'!$C$80</f>
        <v>Press (D.1.2)</v>
      </c>
      <c r="D69" s="22" t="str">
        <f>'Costing inputs'!$U$80</f>
        <v>Central level</v>
      </c>
      <c r="E69" s="22" t="str">
        <f>'Regional splits'!$E$14</f>
        <v>Eastern</v>
      </c>
      <c r="F69">
        <v>0</v>
      </c>
      <c r="G69">
        <v>0</v>
      </c>
      <c r="H69">
        <v>0</v>
      </c>
      <c r="I69">
        <v>0</v>
      </c>
      <c r="J69">
        <v>0</v>
      </c>
      <c r="K69">
        <v>0</v>
      </c>
      <c r="L69">
        <v>0</v>
      </c>
      <c r="M69">
        <v>0</v>
      </c>
      <c r="N69">
        <v>0</v>
      </c>
      <c r="O69">
        <v>0</v>
      </c>
      <c r="P69" s="5">
        <f t="shared" si="13"/>
        <v>0</v>
      </c>
      <c r="Q69">
        <f t="shared" si="14"/>
        <v>0</v>
      </c>
      <c r="R69">
        <f t="shared" si="15"/>
        <v>0</v>
      </c>
      <c r="S69">
        <f t="shared" si="16"/>
        <v>0</v>
      </c>
      <c r="T69">
        <f t="shared" si="17"/>
        <v>0</v>
      </c>
      <c r="U69">
        <f t="shared" si="18"/>
        <v>0</v>
      </c>
      <c r="V69">
        <f t="shared" si="19"/>
        <v>0</v>
      </c>
      <c r="W69">
        <f t="shared" si="20"/>
        <v>0</v>
      </c>
      <c r="X69">
        <f t="shared" si="21"/>
        <v>0</v>
      </c>
      <c r="Y69">
        <f t="shared" si="22"/>
        <v>0</v>
      </c>
      <c r="Z69">
        <f t="shared" si="23"/>
        <v>0</v>
      </c>
      <c r="AA69" t="str">
        <f>INDEX('Priority activities'!$D$5:$D$86,MATCH('Database for analysis'!C69,'Priority activities'!$C$5:$C$86,0))</f>
        <v>FP demand generation and behaviour change communication</v>
      </c>
    </row>
    <row r="70" spans="2:27" ht="16.5" thickTop="1" thickBot="1" x14ac:dyDescent="0.3">
      <c r="B70" t="s">
        <v>147</v>
      </c>
      <c r="C70" s="22" t="str">
        <f>'Costing inputs'!$C$80</f>
        <v>Press (D.1.2)</v>
      </c>
      <c r="D70" s="22" t="str">
        <f>'Costing inputs'!$U$80</f>
        <v>Central level</v>
      </c>
      <c r="E70" s="22" t="str">
        <f>'Regional splits'!$F$14</f>
        <v>Luapula</v>
      </c>
      <c r="F70">
        <v>0</v>
      </c>
      <c r="G70">
        <v>0</v>
      </c>
      <c r="H70">
        <v>0</v>
      </c>
      <c r="I70">
        <v>0</v>
      </c>
      <c r="J70">
        <v>0</v>
      </c>
      <c r="K70">
        <v>0</v>
      </c>
      <c r="L70">
        <v>0</v>
      </c>
      <c r="M70">
        <v>0</v>
      </c>
      <c r="N70">
        <v>0</v>
      </c>
      <c r="O70">
        <v>0</v>
      </c>
      <c r="P70" s="5">
        <f t="shared" si="13"/>
        <v>0</v>
      </c>
      <c r="Q70">
        <f t="shared" si="14"/>
        <v>0</v>
      </c>
      <c r="R70">
        <f t="shared" si="15"/>
        <v>0</v>
      </c>
      <c r="S70">
        <f t="shared" si="16"/>
        <v>0</v>
      </c>
      <c r="T70">
        <f t="shared" si="17"/>
        <v>0</v>
      </c>
      <c r="U70">
        <f t="shared" si="18"/>
        <v>0</v>
      </c>
      <c r="V70">
        <f t="shared" si="19"/>
        <v>0</v>
      </c>
      <c r="W70">
        <f t="shared" si="20"/>
        <v>0</v>
      </c>
      <c r="X70">
        <f t="shared" si="21"/>
        <v>0</v>
      </c>
      <c r="Y70">
        <f t="shared" si="22"/>
        <v>0</v>
      </c>
      <c r="Z70">
        <f t="shared" si="23"/>
        <v>0</v>
      </c>
      <c r="AA70" t="str">
        <f>INDEX('Priority activities'!$D$5:$D$86,MATCH('Database for analysis'!C70,'Priority activities'!$C$5:$C$86,0))</f>
        <v>FP demand generation and behaviour change communication</v>
      </c>
    </row>
    <row r="71" spans="2:27" ht="16.5" thickTop="1" thickBot="1" x14ac:dyDescent="0.3">
      <c r="B71" t="s">
        <v>147</v>
      </c>
      <c r="C71" s="22" t="str">
        <f>'Costing inputs'!$C$80</f>
        <v>Press (D.1.2)</v>
      </c>
      <c r="D71" s="22" t="str">
        <f>'Costing inputs'!$U$80</f>
        <v>Central level</v>
      </c>
      <c r="E71" s="22" t="str">
        <f>'Regional splits'!$G$14</f>
        <v>Lusaka</v>
      </c>
      <c r="F71">
        <v>0</v>
      </c>
      <c r="G71">
        <v>0</v>
      </c>
      <c r="H71">
        <v>0</v>
      </c>
      <c r="I71">
        <v>0</v>
      </c>
      <c r="J71">
        <v>0</v>
      </c>
      <c r="K71">
        <v>0</v>
      </c>
      <c r="L71">
        <v>0</v>
      </c>
      <c r="M71">
        <v>0</v>
      </c>
      <c r="N71">
        <v>0</v>
      </c>
      <c r="O71">
        <v>0</v>
      </c>
      <c r="P71" s="5">
        <f t="shared" si="13"/>
        <v>0</v>
      </c>
      <c r="Q71">
        <f t="shared" si="14"/>
        <v>0</v>
      </c>
      <c r="R71">
        <f t="shared" si="15"/>
        <v>0</v>
      </c>
      <c r="S71">
        <f t="shared" si="16"/>
        <v>0</v>
      </c>
      <c r="T71">
        <f t="shared" si="17"/>
        <v>0</v>
      </c>
      <c r="U71">
        <f t="shared" si="18"/>
        <v>0</v>
      </c>
      <c r="V71">
        <f t="shared" si="19"/>
        <v>0</v>
      </c>
      <c r="W71">
        <f t="shared" si="20"/>
        <v>0</v>
      </c>
      <c r="X71">
        <f t="shared" si="21"/>
        <v>0</v>
      </c>
      <c r="Y71">
        <f t="shared" si="22"/>
        <v>0</v>
      </c>
      <c r="Z71">
        <f t="shared" si="23"/>
        <v>0</v>
      </c>
      <c r="AA71" t="str">
        <f>INDEX('Priority activities'!$D$5:$D$86,MATCH('Database for analysis'!C71,'Priority activities'!$C$5:$C$86,0))</f>
        <v>FP demand generation and behaviour change communication</v>
      </c>
    </row>
    <row r="72" spans="2:27" ht="16.5" thickTop="1" thickBot="1" x14ac:dyDescent="0.3">
      <c r="B72" t="s">
        <v>147</v>
      </c>
      <c r="C72" s="22" t="str">
        <f>'Costing inputs'!$C$80</f>
        <v>Press (D.1.2)</v>
      </c>
      <c r="D72" s="22" t="str">
        <f>'Costing inputs'!$U$80</f>
        <v>Central level</v>
      </c>
      <c r="E72" s="22" t="str">
        <f>'Regional splits'!$H$14</f>
        <v>Muchinga</v>
      </c>
      <c r="F72">
        <v>0</v>
      </c>
      <c r="G72">
        <v>0</v>
      </c>
      <c r="H72">
        <v>0</v>
      </c>
      <c r="I72">
        <v>0</v>
      </c>
      <c r="J72">
        <v>0</v>
      </c>
      <c r="K72">
        <v>0</v>
      </c>
      <c r="L72">
        <v>0</v>
      </c>
      <c r="M72">
        <v>0</v>
      </c>
      <c r="N72">
        <v>0</v>
      </c>
      <c r="O72">
        <v>0</v>
      </c>
      <c r="P72" s="5">
        <f t="shared" si="13"/>
        <v>0</v>
      </c>
      <c r="Q72">
        <f t="shared" si="14"/>
        <v>0</v>
      </c>
      <c r="R72">
        <f t="shared" si="15"/>
        <v>0</v>
      </c>
      <c r="S72">
        <f t="shared" si="16"/>
        <v>0</v>
      </c>
      <c r="T72">
        <f t="shared" si="17"/>
        <v>0</v>
      </c>
      <c r="U72">
        <f t="shared" si="18"/>
        <v>0</v>
      </c>
      <c r="V72">
        <f t="shared" si="19"/>
        <v>0</v>
      </c>
      <c r="W72">
        <f t="shared" si="20"/>
        <v>0</v>
      </c>
      <c r="X72">
        <f t="shared" si="21"/>
        <v>0</v>
      </c>
      <c r="Y72">
        <f t="shared" si="22"/>
        <v>0</v>
      </c>
      <c r="Z72">
        <f t="shared" si="23"/>
        <v>0</v>
      </c>
      <c r="AA72" t="str">
        <f>INDEX('Priority activities'!$D$5:$D$86,MATCH('Database for analysis'!C72,'Priority activities'!$C$5:$C$86,0))</f>
        <v>FP demand generation and behaviour change communication</v>
      </c>
    </row>
    <row r="73" spans="2:27" ht="16.5" thickTop="1" thickBot="1" x14ac:dyDescent="0.3">
      <c r="B73" t="s">
        <v>147</v>
      </c>
      <c r="C73" s="22" t="str">
        <f>'Costing inputs'!$C$80</f>
        <v>Press (D.1.2)</v>
      </c>
      <c r="D73" s="22" t="str">
        <f>'Costing inputs'!$U$80</f>
        <v>Central level</v>
      </c>
      <c r="E73" s="22" t="str">
        <f>'Regional splits'!$I$14</f>
        <v>Northern</v>
      </c>
      <c r="F73">
        <v>0</v>
      </c>
      <c r="G73">
        <v>0</v>
      </c>
      <c r="H73">
        <v>0</v>
      </c>
      <c r="I73">
        <v>0</v>
      </c>
      <c r="J73">
        <v>0</v>
      </c>
      <c r="K73">
        <v>0</v>
      </c>
      <c r="L73">
        <v>0</v>
      </c>
      <c r="M73">
        <v>0</v>
      </c>
      <c r="N73">
        <v>0</v>
      </c>
      <c r="O73">
        <v>0</v>
      </c>
      <c r="P73" s="5">
        <f t="shared" si="13"/>
        <v>0</v>
      </c>
      <c r="Q73">
        <f t="shared" si="14"/>
        <v>0</v>
      </c>
      <c r="R73">
        <f t="shared" si="15"/>
        <v>0</v>
      </c>
      <c r="S73">
        <f t="shared" si="16"/>
        <v>0</v>
      </c>
      <c r="T73">
        <f t="shared" si="17"/>
        <v>0</v>
      </c>
      <c r="U73">
        <f t="shared" si="18"/>
        <v>0</v>
      </c>
      <c r="V73">
        <f t="shared" si="19"/>
        <v>0</v>
      </c>
      <c r="W73">
        <f t="shared" si="20"/>
        <v>0</v>
      </c>
      <c r="X73">
        <f t="shared" si="21"/>
        <v>0</v>
      </c>
      <c r="Y73">
        <f t="shared" si="22"/>
        <v>0</v>
      </c>
      <c r="Z73">
        <f t="shared" si="23"/>
        <v>0</v>
      </c>
      <c r="AA73" t="str">
        <f>INDEX('Priority activities'!$D$5:$D$86,MATCH('Database for analysis'!C73,'Priority activities'!$C$5:$C$86,0))</f>
        <v>FP demand generation and behaviour change communication</v>
      </c>
    </row>
    <row r="74" spans="2:27" ht="16.5" thickTop="1" thickBot="1" x14ac:dyDescent="0.3">
      <c r="B74" t="s">
        <v>147</v>
      </c>
      <c r="C74" s="22" t="str">
        <f>'Costing inputs'!$C$80</f>
        <v>Press (D.1.2)</v>
      </c>
      <c r="D74" s="22" t="str">
        <f>'Costing inputs'!$U$80</f>
        <v>Central level</v>
      </c>
      <c r="E74" s="22" t="str">
        <f>'Regional splits'!$J$14</f>
        <v>North Western</v>
      </c>
      <c r="F74">
        <v>0</v>
      </c>
      <c r="G74">
        <v>0</v>
      </c>
      <c r="H74">
        <v>0</v>
      </c>
      <c r="I74">
        <v>0</v>
      </c>
      <c r="J74">
        <v>0</v>
      </c>
      <c r="K74">
        <v>0</v>
      </c>
      <c r="L74">
        <v>0</v>
      </c>
      <c r="M74">
        <v>0</v>
      </c>
      <c r="N74">
        <v>0</v>
      </c>
      <c r="O74">
        <v>0</v>
      </c>
      <c r="P74" s="5">
        <f t="shared" si="13"/>
        <v>0</v>
      </c>
      <c r="Q74">
        <f t="shared" si="14"/>
        <v>0</v>
      </c>
      <c r="R74">
        <f t="shared" si="15"/>
        <v>0</v>
      </c>
      <c r="S74">
        <f t="shared" si="16"/>
        <v>0</v>
      </c>
      <c r="T74">
        <f t="shared" si="17"/>
        <v>0</v>
      </c>
      <c r="U74">
        <f t="shared" si="18"/>
        <v>0</v>
      </c>
      <c r="V74">
        <f t="shared" si="19"/>
        <v>0</v>
      </c>
      <c r="W74">
        <f t="shared" si="20"/>
        <v>0</v>
      </c>
      <c r="X74">
        <f t="shared" si="21"/>
        <v>0</v>
      </c>
      <c r="Y74">
        <f t="shared" si="22"/>
        <v>0</v>
      </c>
      <c r="Z74">
        <f t="shared" si="23"/>
        <v>0</v>
      </c>
      <c r="AA74" t="str">
        <f>INDEX('Priority activities'!$D$5:$D$86,MATCH('Database for analysis'!C74,'Priority activities'!$C$5:$C$86,0))</f>
        <v>FP demand generation and behaviour change communication</v>
      </c>
    </row>
    <row r="75" spans="2:27" ht="16.5" thickTop="1" thickBot="1" x14ac:dyDescent="0.3">
      <c r="B75" t="s">
        <v>147</v>
      </c>
      <c r="C75" s="22" t="str">
        <f>'Costing inputs'!$C$80</f>
        <v>Press (D.1.2)</v>
      </c>
      <c r="D75" s="22" t="str">
        <f>'Costing inputs'!$U$80</f>
        <v>Central level</v>
      </c>
      <c r="E75" s="22" t="str">
        <f>'Regional splits'!$K$14</f>
        <v>Southern</v>
      </c>
      <c r="F75">
        <v>0</v>
      </c>
      <c r="G75">
        <v>0</v>
      </c>
      <c r="H75">
        <v>0</v>
      </c>
      <c r="I75">
        <v>0</v>
      </c>
      <c r="J75">
        <v>0</v>
      </c>
      <c r="K75">
        <v>0</v>
      </c>
      <c r="L75">
        <v>0</v>
      </c>
      <c r="M75">
        <v>0</v>
      </c>
      <c r="N75">
        <v>0</v>
      </c>
      <c r="O75">
        <v>0</v>
      </c>
      <c r="P75" s="5">
        <f t="shared" si="13"/>
        <v>0</v>
      </c>
      <c r="Q75">
        <f t="shared" si="14"/>
        <v>0</v>
      </c>
      <c r="R75">
        <f t="shared" si="15"/>
        <v>0</v>
      </c>
      <c r="S75">
        <f t="shared" si="16"/>
        <v>0</v>
      </c>
      <c r="T75">
        <f t="shared" si="17"/>
        <v>0</v>
      </c>
      <c r="U75">
        <f t="shared" si="18"/>
        <v>0</v>
      </c>
      <c r="V75">
        <f t="shared" si="19"/>
        <v>0</v>
      </c>
      <c r="W75">
        <f t="shared" si="20"/>
        <v>0</v>
      </c>
      <c r="X75">
        <f t="shared" si="21"/>
        <v>0</v>
      </c>
      <c r="Y75">
        <f t="shared" si="22"/>
        <v>0</v>
      </c>
      <c r="Z75">
        <f t="shared" si="23"/>
        <v>0</v>
      </c>
      <c r="AA75" t="str">
        <f>INDEX('Priority activities'!$D$5:$D$86,MATCH('Database for analysis'!C75,'Priority activities'!$C$5:$C$86,0))</f>
        <v>FP demand generation and behaviour change communication</v>
      </c>
    </row>
    <row r="76" spans="2:27" ht="16.5" thickTop="1" thickBot="1" x14ac:dyDescent="0.3">
      <c r="B76" t="s">
        <v>147</v>
      </c>
      <c r="C76" s="22" t="str">
        <f>'Costing inputs'!$C$80</f>
        <v>Press (D.1.2)</v>
      </c>
      <c r="D76" s="22" t="str">
        <f>'Costing inputs'!$U$80</f>
        <v>Central level</v>
      </c>
      <c r="E76" s="22" t="str">
        <f>'Regional splits'!$L$14</f>
        <v>Western</v>
      </c>
      <c r="F76">
        <v>0</v>
      </c>
      <c r="G76">
        <v>0</v>
      </c>
      <c r="H76">
        <v>0</v>
      </c>
      <c r="I76">
        <v>0</v>
      </c>
      <c r="J76">
        <v>0</v>
      </c>
      <c r="K76">
        <v>0</v>
      </c>
      <c r="L76">
        <v>0</v>
      </c>
      <c r="M76">
        <v>0</v>
      </c>
      <c r="N76">
        <v>0</v>
      </c>
      <c r="O76">
        <v>0</v>
      </c>
      <c r="P76" s="5">
        <f t="shared" si="13"/>
        <v>0</v>
      </c>
      <c r="Q76">
        <f t="shared" si="14"/>
        <v>0</v>
      </c>
      <c r="R76">
        <f t="shared" si="15"/>
        <v>0</v>
      </c>
      <c r="S76">
        <f t="shared" si="16"/>
        <v>0</v>
      </c>
      <c r="T76">
        <f t="shared" si="17"/>
        <v>0</v>
      </c>
      <c r="U76">
        <f t="shared" si="18"/>
        <v>0</v>
      </c>
      <c r="V76">
        <f t="shared" si="19"/>
        <v>0</v>
      </c>
      <c r="W76">
        <f t="shared" si="20"/>
        <v>0</v>
      </c>
      <c r="X76">
        <f t="shared" si="21"/>
        <v>0</v>
      </c>
      <c r="Y76">
        <f t="shared" si="22"/>
        <v>0</v>
      </c>
      <c r="Z76">
        <f t="shared" si="23"/>
        <v>0</v>
      </c>
      <c r="AA76" t="str">
        <f>INDEX('Priority activities'!$D$5:$D$86,MATCH('Database for analysis'!C76,'Priority activities'!$C$5:$C$86,0))</f>
        <v>FP demand generation and behaviour change communication</v>
      </c>
    </row>
    <row r="77" spans="2:27" ht="16.5" thickTop="1" thickBot="1" x14ac:dyDescent="0.3">
      <c r="B77" t="s">
        <v>147</v>
      </c>
      <c r="C77" s="22" t="str">
        <f>'Costing inputs'!$C$80</f>
        <v>Press (D.1.2)</v>
      </c>
      <c r="D77" s="22" t="str">
        <f>'Costing inputs'!$U$80</f>
        <v>Central level</v>
      </c>
      <c r="E77" s="22">
        <f>'Regional splits'!$M$14</f>
        <v>0</v>
      </c>
      <c r="F77">
        <v>0</v>
      </c>
      <c r="G77">
        <v>0</v>
      </c>
      <c r="H77">
        <v>0</v>
      </c>
      <c r="I77">
        <v>0</v>
      </c>
      <c r="J77">
        <v>0</v>
      </c>
      <c r="K77">
        <v>0</v>
      </c>
      <c r="L77">
        <v>0</v>
      </c>
      <c r="M77">
        <v>0</v>
      </c>
      <c r="N77">
        <v>0</v>
      </c>
      <c r="O77">
        <v>0</v>
      </c>
      <c r="P77" s="5">
        <f t="shared" si="13"/>
        <v>0</v>
      </c>
      <c r="Q77">
        <f t="shared" si="14"/>
        <v>0</v>
      </c>
      <c r="R77">
        <f t="shared" si="15"/>
        <v>0</v>
      </c>
      <c r="S77">
        <f t="shared" si="16"/>
        <v>0</v>
      </c>
      <c r="T77">
        <f t="shared" si="17"/>
        <v>0</v>
      </c>
      <c r="U77">
        <f t="shared" si="18"/>
        <v>0</v>
      </c>
      <c r="V77">
        <f t="shared" si="19"/>
        <v>0</v>
      </c>
      <c r="W77">
        <f t="shared" si="20"/>
        <v>0</v>
      </c>
      <c r="X77">
        <f t="shared" si="21"/>
        <v>0</v>
      </c>
      <c r="Y77">
        <f t="shared" si="22"/>
        <v>0</v>
      </c>
      <c r="Z77">
        <f t="shared" si="23"/>
        <v>0</v>
      </c>
      <c r="AA77" t="str">
        <f>INDEX('Priority activities'!$D$5:$D$86,MATCH('Database for analysis'!C77,'Priority activities'!$C$5:$C$86,0))</f>
        <v>FP demand generation and behaviour change communication</v>
      </c>
    </row>
    <row r="78" spans="2:27" ht="16.5" thickTop="1" thickBot="1" x14ac:dyDescent="0.3">
      <c r="B78" t="s">
        <v>147</v>
      </c>
      <c r="C78" s="22" t="str">
        <f>'Costing inputs'!$C$80</f>
        <v>Press (D.1.2)</v>
      </c>
      <c r="D78" s="22" t="str">
        <f>'Costing inputs'!$U$80</f>
        <v>Central level</v>
      </c>
      <c r="E78" s="22">
        <f>'Regional splits'!$N$14</f>
        <v>0</v>
      </c>
      <c r="F78">
        <v>0</v>
      </c>
      <c r="G78">
        <v>0</v>
      </c>
      <c r="H78">
        <v>0</v>
      </c>
      <c r="I78">
        <v>0</v>
      </c>
      <c r="J78">
        <v>0</v>
      </c>
      <c r="K78">
        <v>0</v>
      </c>
      <c r="L78">
        <v>0</v>
      </c>
      <c r="M78">
        <v>0</v>
      </c>
      <c r="N78">
        <v>0</v>
      </c>
      <c r="O78">
        <v>0</v>
      </c>
      <c r="P78" s="5">
        <f t="shared" si="13"/>
        <v>0</v>
      </c>
      <c r="Q78">
        <f t="shared" si="14"/>
        <v>0</v>
      </c>
      <c r="R78">
        <f t="shared" si="15"/>
        <v>0</v>
      </c>
      <c r="S78">
        <f t="shared" si="16"/>
        <v>0</v>
      </c>
      <c r="T78">
        <f t="shared" si="17"/>
        <v>0</v>
      </c>
      <c r="U78">
        <f t="shared" si="18"/>
        <v>0</v>
      </c>
      <c r="V78">
        <f t="shared" si="19"/>
        <v>0</v>
      </c>
      <c r="W78">
        <f t="shared" si="20"/>
        <v>0</v>
      </c>
      <c r="X78">
        <f t="shared" si="21"/>
        <v>0</v>
      </c>
      <c r="Y78">
        <f t="shared" si="22"/>
        <v>0</v>
      </c>
      <c r="Z78">
        <f t="shared" si="23"/>
        <v>0</v>
      </c>
      <c r="AA78" t="str">
        <f>INDEX('Priority activities'!$D$5:$D$86,MATCH('Database for analysis'!C78,'Priority activities'!$C$5:$C$86,0))</f>
        <v>FP demand generation and behaviour change communication</v>
      </c>
    </row>
    <row r="79" spans="2:27" ht="16.5" thickTop="1" thickBot="1" x14ac:dyDescent="0.3">
      <c r="B79" t="s">
        <v>147</v>
      </c>
      <c r="C79" s="22" t="str">
        <f>'Costing inputs'!$C$80</f>
        <v>Press (D.1.2)</v>
      </c>
      <c r="D79" s="22" t="str">
        <f>'Costing inputs'!$U$80</f>
        <v>Central level</v>
      </c>
      <c r="E79" s="22">
        <f>'Regional splits'!$O$14</f>
        <v>0</v>
      </c>
      <c r="F79">
        <v>0</v>
      </c>
      <c r="G79">
        <v>0</v>
      </c>
      <c r="H79">
        <v>0</v>
      </c>
      <c r="I79">
        <v>0</v>
      </c>
      <c r="J79">
        <v>0</v>
      </c>
      <c r="K79">
        <v>0</v>
      </c>
      <c r="L79">
        <v>0</v>
      </c>
      <c r="M79">
        <v>0</v>
      </c>
      <c r="N79">
        <v>0</v>
      </c>
      <c r="O79">
        <v>0</v>
      </c>
      <c r="P79" s="5">
        <f t="shared" si="13"/>
        <v>0</v>
      </c>
      <c r="Q79">
        <f t="shared" si="14"/>
        <v>0</v>
      </c>
      <c r="R79">
        <f t="shared" si="15"/>
        <v>0</v>
      </c>
      <c r="S79">
        <f t="shared" si="16"/>
        <v>0</v>
      </c>
      <c r="T79">
        <f t="shared" si="17"/>
        <v>0</v>
      </c>
      <c r="U79">
        <f t="shared" si="18"/>
        <v>0</v>
      </c>
      <c r="V79">
        <f t="shared" si="19"/>
        <v>0</v>
      </c>
      <c r="W79">
        <f t="shared" si="20"/>
        <v>0</v>
      </c>
      <c r="X79">
        <f t="shared" si="21"/>
        <v>0</v>
      </c>
      <c r="Y79">
        <f t="shared" si="22"/>
        <v>0</v>
      </c>
      <c r="Z79">
        <f t="shared" si="23"/>
        <v>0</v>
      </c>
      <c r="AA79" t="str">
        <f>INDEX('Priority activities'!$D$5:$D$86,MATCH('Database for analysis'!C79,'Priority activities'!$C$5:$C$86,0))</f>
        <v>FP demand generation and behaviour change communication</v>
      </c>
    </row>
    <row r="80" spans="2:27" ht="16.5" thickTop="1" thickBot="1" x14ac:dyDescent="0.3">
      <c r="B80" t="s">
        <v>147</v>
      </c>
      <c r="C80" s="22" t="str">
        <f>'Costing inputs'!$C$80</f>
        <v>Press (D.1.2)</v>
      </c>
      <c r="D80" s="22" t="str">
        <f>'Costing inputs'!$U$80</f>
        <v>Central level</v>
      </c>
      <c r="E80" s="22">
        <f>'Regional splits'!$P$14</f>
        <v>0</v>
      </c>
      <c r="F80">
        <v>0</v>
      </c>
      <c r="G80">
        <v>0</v>
      </c>
      <c r="H80">
        <v>0</v>
      </c>
      <c r="I80">
        <v>0</v>
      </c>
      <c r="J80">
        <v>0</v>
      </c>
      <c r="K80">
        <v>0</v>
      </c>
      <c r="L80">
        <v>0</v>
      </c>
      <c r="M80">
        <v>0</v>
      </c>
      <c r="N80">
        <v>0</v>
      </c>
      <c r="O80">
        <v>0</v>
      </c>
      <c r="P80" s="5">
        <f t="shared" si="13"/>
        <v>0</v>
      </c>
      <c r="Q80">
        <f t="shared" si="14"/>
        <v>0</v>
      </c>
      <c r="R80">
        <f t="shared" si="15"/>
        <v>0</v>
      </c>
      <c r="S80">
        <f t="shared" si="16"/>
        <v>0</v>
      </c>
      <c r="T80">
        <f t="shared" si="17"/>
        <v>0</v>
      </c>
      <c r="U80">
        <f t="shared" si="18"/>
        <v>0</v>
      </c>
      <c r="V80">
        <f t="shared" si="19"/>
        <v>0</v>
      </c>
      <c r="W80">
        <f t="shared" si="20"/>
        <v>0</v>
      </c>
      <c r="X80">
        <f t="shared" si="21"/>
        <v>0</v>
      </c>
      <c r="Y80">
        <f t="shared" si="22"/>
        <v>0</v>
      </c>
      <c r="Z80">
        <f t="shared" si="23"/>
        <v>0</v>
      </c>
      <c r="AA80" t="str">
        <f>INDEX('Priority activities'!$D$5:$D$86,MATCH('Database for analysis'!C80,'Priority activities'!$C$5:$C$86,0))</f>
        <v>FP demand generation and behaviour change communication</v>
      </c>
    </row>
    <row r="81" spans="2:27" ht="16.5" thickTop="1" thickBot="1" x14ac:dyDescent="0.3">
      <c r="B81" t="s">
        <v>147</v>
      </c>
      <c r="C81" s="22" t="str">
        <f>'Costing inputs'!$C$80</f>
        <v>Press (D.1.2)</v>
      </c>
      <c r="D81" s="22" t="str">
        <f>'Costing inputs'!$U$80</f>
        <v>Central level</v>
      </c>
      <c r="E81" s="22">
        <f>'Regional splits'!$Q$14</f>
        <v>0</v>
      </c>
      <c r="F81">
        <v>0</v>
      </c>
      <c r="G81">
        <v>0</v>
      </c>
      <c r="H81">
        <v>0</v>
      </c>
      <c r="I81">
        <v>0</v>
      </c>
      <c r="J81">
        <v>0</v>
      </c>
      <c r="K81">
        <v>0</v>
      </c>
      <c r="L81">
        <v>0</v>
      </c>
      <c r="M81">
        <v>0</v>
      </c>
      <c r="N81">
        <v>0</v>
      </c>
      <c r="O81">
        <v>0</v>
      </c>
      <c r="P81" s="5">
        <f t="shared" si="13"/>
        <v>0</v>
      </c>
      <c r="Q81">
        <f t="shared" si="14"/>
        <v>0</v>
      </c>
      <c r="R81">
        <f t="shared" si="15"/>
        <v>0</v>
      </c>
      <c r="S81">
        <f t="shared" si="16"/>
        <v>0</v>
      </c>
      <c r="T81">
        <f t="shared" si="17"/>
        <v>0</v>
      </c>
      <c r="U81">
        <f t="shared" si="18"/>
        <v>0</v>
      </c>
      <c r="V81">
        <f t="shared" si="19"/>
        <v>0</v>
      </c>
      <c r="W81">
        <f t="shared" si="20"/>
        <v>0</v>
      </c>
      <c r="X81">
        <f t="shared" si="21"/>
        <v>0</v>
      </c>
      <c r="Y81">
        <f t="shared" si="22"/>
        <v>0</v>
      </c>
      <c r="Z81">
        <f t="shared" si="23"/>
        <v>0</v>
      </c>
      <c r="AA81" t="str">
        <f>INDEX('Priority activities'!$D$5:$D$86,MATCH('Database for analysis'!C81,'Priority activities'!$C$5:$C$86,0))</f>
        <v>FP demand generation and behaviour change communication</v>
      </c>
    </row>
    <row r="82" spans="2:27" ht="16.5" thickTop="1" thickBot="1" x14ac:dyDescent="0.3">
      <c r="B82" t="s">
        <v>147</v>
      </c>
      <c r="C82" s="22" t="str">
        <f>'Costing inputs'!$C$80</f>
        <v>Press (D.1.2)</v>
      </c>
      <c r="D82" s="22" t="str">
        <f>'Costing inputs'!$U$80</f>
        <v>Central level</v>
      </c>
      <c r="E82" s="22" t="str">
        <f>'Regional splits'!$R$14</f>
        <v>National-level</v>
      </c>
      <c r="F82">
        <v>0</v>
      </c>
      <c r="G82">
        <v>22602.576000000001</v>
      </c>
      <c r="H82">
        <v>22602.576000000001</v>
      </c>
      <c r="I82">
        <v>22602.576000000001</v>
      </c>
      <c r="J82">
        <v>22602.576000000001</v>
      </c>
      <c r="K82">
        <v>22602.576000000001</v>
      </c>
      <c r="L82">
        <v>22602.576000000001</v>
      </c>
      <c r="M82">
        <v>22602.576000000001</v>
      </c>
      <c r="N82">
        <v>0</v>
      </c>
      <c r="O82">
        <v>0</v>
      </c>
      <c r="P82" s="5">
        <f t="shared" si="13"/>
        <v>158218.03200000001</v>
      </c>
      <c r="Q82">
        <f t="shared" si="14"/>
        <v>0</v>
      </c>
      <c r="R82">
        <f t="shared" si="15"/>
        <v>22602.576000000001</v>
      </c>
      <c r="S82">
        <f t="shared" si="16"/>
        <v>22602.576000000001</v>
      </c>
      <c r="T82">
        <f t="shared" si="17"/>
        <v>22602.576000000001</v>
      </c>
      <c r="U82">
        <f t="shared" si="18"/>
        <v>22602.576000000001</v>
      </c>
      <c r="V82">
        <f t="shared" si="19"/>
        <v>22602.576000000001</v>
      </c>
      <c r="W82">
        <f t="shared" si="20"/>
        <v>22602.576000000001</v>
      </c>
      <c r="X82">
        <f t="shared" si="21"/>
        <v>22602.576000000001</v>
      </c>
      <c r="Y82">
        <f t="shared" si="22"/>
        <v>0</v>
      </c>
      <c r="Z82">
        <f t="shared" si="23"/>
        <v>0</v>
      </c>
      <c r="AA82" t="str">
        <f>INDEX('Priority activities'!$D$5:$D$86,MATCH('Database for analysis'!C82,'Priority activities'!$C$5:$C$86,0))</f>
        <v>FP demand generation and behaviour change communication</v>
      </c>
    </row>
    <row r="83" spans="2:27" ht="16.5" thickTop="1" thickBot="1" x14ac:dyDescent="0.3">
      <c r="B83" t="s">
        <v>147</v>
      </c>
      <c r="C83" s="22" t="str">
        <f>'Costing inputs'!$C$88</f>
        <v>Telecom and internet (n/a)</v>
      </c>
      <c r="D83" s="22" t="str">
        <f>'Costing inputs'!$U$88</f>
        <v>Central level</v>
      </c>
      <c r="E83" s="22" t="str">
        <f>'Regional splits'!$C$14</f>
        <v>Central</v>
      </c>
      <c r="F83">
        <f t="array" ref="F83:O98">'Costing inputs'!S88*'Costing inputs'!AP88:AY88*TRANSPOSE('Costing inputs'!W88:AL88)</f>
        <v>0</v>
      </c>
      <c r="G83">
        <v>0</v>
      </c>
      <c r="H83">
        <v>0</v>
      </c>
      <c r="I83">
        <v>0</v>
      </c>
      <c r="J83">
        <v>0</v>
      </c>
      <c r="K83">
        <v>0</v>
      </c>
      <c r="L83">
        <v>0</v>
      </c>
      <c r="M83">
        <v>0</v>
      </c>
      <c r="N83">
        <v>0</v>
      </c>
      <c r="O83">
        <v>0</v>
      </c>
      <c r="P83" s="5">
        <f t="shared" si="13"/>
        <v>0</v>
      </c>
      <c r="Q83">
        <f t="shared" si="14"/>
        <v>0</v>
      </c>
      <c r="R83">
        <f t="shared" si="15"/>
        <v>0</v>
      </c>
      <c r="S83">
        <f t="shared" si="16"/>
        <v>0</v>
      </c>
      <c r="T83">
        <f t="shared" si="17"/>
        <v>0</v>
      </c>
      <c r="U83">
        <f t="shared" si="18"/>
        <v>0</v>
      </c>
      <c r="V83">
        <f t="shared" si="19"/>
        <v>0</v>
      </c>
      <c r="W83">
        <f t="shared" si="20"/>
        <v>0</v>
      </c>
      <c r="X83">
        <f t="shared" si="21"/>
        <v>0</v>
      </c>
      <c r="Y83">
        <f t="shared" si="22"/>
        <v>0</v>
      </c>
      <c r="Z83">
        <f t="shared" si="23"/>
        <v>0</v>
      </c>
      <c r="AA83" t="str">
        <f>INDEX('Priority activities'!$D$5:$D$86,MATCH('Database for analysis'!C83,'Priority activities'!$C$5:$C$86,0))</f>
        <v>n/a</v>
      </c>
    </row>
    <row r="84" spans="2:27" ht="16.5" thickTop="1" thickBot="1" x14ac:dyDescent="0.3">
      <c r="B84" t="s">
        <v>147</v>
      </c>
      <c r="C84" s="22" t="str">
        <f>'Costing inputs'!$C$88</f>
        <v>Telecom and internet (n/a)</v>
      </c>
      <c r="D84" s="22" t="str">
        <f>'Costing inputs'!$U$88</f>
        <v>Central level</v>
      </c>
      <c r="E84" s="22" t="str">
        <f>'Regional splits'!$D$14</f>
        <v>Copperbelt</v>
      </c>
      <c r="F84">
        <v>0</v>
      </c>
      <c r="G84">
        <v>0</v>
      </c>
      <c r="H84">
        <v>0</v>
      </c>
      <c r="I84">
        <v>0</v>
      </c>
      <c r="J84">
        <v>0</v>
      </c>
      <c r="K84">
        <v>0</v>
      </c>
      <c r="L84">
        <v>0</v>
      </c>
      <c r="M84">
        <v>0</v>
      </c>
      <c r="N84">
        <v>0</v>
      </c>
      <c r="O84">
        <v>0</v>
      </c>
      <c r="P84" s="5">
        <f t="shared" si="13"/>
        <v>0</v>
      </c>
      <c r="Q84">
        <f t="shared" si="14"/>
        <v>0</v>
      </c>
      <c r="R84">
        <f t="shared" si="15"/>
        <v>0</v>
      </c>
      <c r="S84">
        <f t="shared" si="16"/>
        <v>0</v>
      </c>
      <c r="T84">
        <f t="shared" si="17"/>
        <v>0</v>
      </c>
      <c r="U84">
        <f t="shared" si="18"/>
        <v>0</v>
      </c>
      <c r="V84">
        <f t="shared" si="19"/>
        <v>0</v>
      </c>
      <c r="W84">
        <f t="shared" si="20"/>
        <v>0</v>
      </c>
      <c r="X84">
        <f t="shared" si="21"/>
        <v>0</v>
      </c>
      <c r="Y84">
        <f t="shared" si="22"/>
        <v>0</v>
      </c>
      <c r="Z84">
        <f t="shared" si="23"/>
        <v>0</v>
      </c>
      <c r="AA84" t="str">
        <f>INDEX('Priority activities'!$D$5:$D$86,MATCH('Database for analysis'!C84,'Priority activities'!$C$5:$C$86,0))</f>
        <v>n/a</v>
      </c>
    </row>
    <row r="85" spans="2:27" ht="16.5" thickTop="1" thickBot="1" x14ac:dyDescent="0.3">
      <c r="B85" t="s">
        <v>147</v>
      </c>
      <c r="C85" s="22" t="str">
        <f>'Costing inputs'!$C$88</f>
        <v>Telecom and internet (n/a)</v>
      </c>
      <c r="D85" s="22" t="str">
        <f>'Costing inputs'!$U$88</f>
        <v>Central level</v>
      </c>
      <c r="E85" s="22" t="str">
        <f>'Regional splits'!$E$14</f>
        <v>Eastern</v>
      </c>
      <c r="F85">
        <v>0</v>
      </c>
      <c r="G85">
        <v>0</v>
      </c>
      <c r="H85">
        <v>0</v>
      </c>
      <c r="I85">
        <v>0</v>
      </c>
      <c r="J85">
        <v>0</v>
      </c>
      <c r="K85">
        <v>0</v>
      </c>
      <c r="L85">
        <v>0</v>
      </c>
      <c r="M85">
        <v>0</v>
      </c>
      <c r="N85">
        <v>0</v>
      </c>
      <c r="O85">
        <v>0</v>
      </c>
      <c r="P85" s="5">
        <f t="shared" si="13"/>
        <v>0</v>
      </c>
      <c r="Q85">
        <f t="shared" si="14"/>
        <v>0</v>
      </c>
      <c r="R85">
        <f t="shared" si="15"/>
        <v>0</v>
      </c>
      <c r="S85">
        <f t="shared" si="16"/>
        <v>0</v>
      </c>
      <c r="T85">
        <f t="shared" si="17"/>
        <v>0</v>
      </c>
      <c r="U85">
        <f t="shared" si="18"/>
        <v>0</v>
      </c>
      <c r="V85">
        <f t="shared" si="19"/>
        <v>0</v>
      </c>
      <c r="W85">
        <f t="shared" si="20"/>
        <v>0</v>
      </c>
      <c r="X85">
        <f t="shared" si="21"/>
        <v>0</v>
      </c>
      <c r="Y85">
        <f t="shared" si="22"/>
        <v>0</v>
      </c>
      <c r="Z85">
        <f t="shared" si="23"/>
        <v>0</v>
      </c>
      <c r="AA85" t="str">
        <f>INDEX('Priority activities'!$D$5:$D$86,MATCH('Database for analysis'!C85,'Priority activities'!$C$5:$C$86,0))</f>
        <v>n/a</v>
      </c>
    </row>
    <row r="86" spans="2:27" ht="16.5" thickTop="1" thickBot="1" x14ac:dyDescent="0.3">
      <c r="B86" t="s">
        <v>147</v>
      </c>
      <c r="C86" s="22" t="str">
        <f>'Costing inputs'!$C$88</f>
        <v>Telecom and internet (n/a)</v>
      </c>
      <c r="D86" s="22" t="str">
        <f>'Costing inputs'!$U$88</f>
        <v>Central level</v>
      </c>
      <c r="E86" s="22" t="str">
        <f>'Regional splits'!$F$14</f>
        <v>Luapula</v>
      </c>
      <c r="F86">
        <v>0</v>
      </c>
      <c r="G86">
        <v>0</v>
      </c>
      <c r="H86">
        <v>0</v>
      </c>
      <c r="I86">
        <v>0</v>
      </c>
      <c r="J86">
        <v>0</v>
      </c>
      <c r="K86">
        <v>0</v>
      </c>
      <c r="L86">
        <v>0</v>
      </c>
      <c r="M86">
        <v>0</v>
      </c>
      <c r="N86">
        <v>0</v>
      </c>
      <c r="O86">
        <v>0</v>
      </c>
      <c r="P86" s="5">
        <f t="shared" si="13"/>
        <v>0</v>
      </c>
      <c r="Q86">
        <f t="shared" si="14"/>
        <v>0</v>
      </c>
      <c r="R86">
        <f t="shared" si="15"/>
        <v>0</v>
      </c>
      <c r="S86">
        <f t="shared" si="16"/>
        <v>0</v>
      </c>
      <c r="T86">
        <f t="shared" si="17"/>
        <v>0</v>
      </c>
      <c r="U86">
        <f t="shared" si="18"/>
        <v>0</v>
      </c>
      <c r="V86">
        <f t="shared" si="19"/>
        <v>0</v>
      </c>
      <c r="W86">
        <f t="shared" si="20"/>
        <v>0</v>
      </c>
      <c r="X86">
        <f t="shared" si="21"/>
        <v>0</v>
      </c>
      <c r="Y86">
        <f t="shared" si="22"/>
        <v>0</v>
      </c>
      <c r="Z86">
        <f t="shared" si="23"/>
        <v>0</v>
      </c>
      <c r="AA86" t="str">
        <f>INDEX('Priority activities'!$D$5:$D$86,MATCH('Database for analysis'!C86,'Priority activities'!$C$5:$C$86,0))</f>
        <v>n/a</v>
      </c>
    </row>
    <row r="87" spans="2:27" ht="16.5" thickTop="1" thickBot="1" x14ac:dyDescent="0.3">
      <c r="B87" t="s">
        <v>147</v>
      </c>
      <c r="C87" s="22" t="str">
        <f>'Costing inputs'!$C$88</f>
        <v>Telecom and internet (n/a)</v>
      </c>
      <c r="D87" s="22" t="str">
        <f>'Costing inputs'!$U$88</f>
        <v>Central level</v>
      </c>
      <c r="E87" s="22" t="str">
        <f>'Regional splits'!$G$14</f>
        <v>Lusaka</v>
      </c>
      <c r="F87">
        <v>0</v>
      </c>
      <c r="G87">
        <v>0</v>
      </c>
      <c r="H87">
        <v>0</v>
      </c>
      <c r="I87">
        <v>0</v>
      </c>
      <c r="J87">
        <v>0</v>
      </c>
      <c r="K87">
        <v>0</v>
      </c>
      <c r="L87">
        <v>0</v>
      </c>
      <c r="M87">
        <v>0</v>
      </c>
      <c r="N87">
        <v>0</v>
      </c>
      <c r="O87">
        <v>0</v>
      </c>
      <c r="P87" s="5">
        <f t="shared" si="13"/>
        <v>0</v>
      </c>
      <c r="Q87">
        <f t="shared" si="14"/>
        <v>0</v>
      </c>
      <c r="R87">
        <f t="shared" si="15"/>
        <v>0</v>
      </c>
      <c r="S87">
        <f t="shared" si="16"/>
        <v>0</v>
      </c>
      <c r="T87">
        <f t="shared" si="17"/>
        <v>0</v>
      </c>
      <c r="U87">
        <f t="shared" si="18"/>
        <v>0</v>
      </c>
      <c r="V87">
        <f t="shared" si="19"/>
        <v>0</v>
      </c>
      <c r="W87">
        <f t="shared" si="20"/>
        <v>0</v>
      </c>
      <c r="X87">
        <f t="shared" si="21"/>
        <v>0</v>
      </c>
      <c r="Y87">
        <f t="shared" si="22"/>
        <v>0</v>
      </c>
      <c r="Z87">
        <f t="shared" si="23"/>
        <v>0</v>
      </c>
      <c r="AA87" t="str">
        <f>INDEX('Priority activities'!$D$5:$D$86,MATCH('Database for analysis'!C87,'Priority activities'!$C$5:$C$86,0))</f>
        <v>n/a</v>
      </c>
    </row>
    <row r="88" spans="2:27" ht="16.5" thickTop="1" thickBot="1" x14ac:dyDescent="0.3">
      <c r="B88" t="s">
        <v>147</v>
      </c>
      <c r="C88" s="22" t="str">
        <f>'Costing inputs'!$C$88</f>
        <v>Telecom and internet (n/a)</v>
      </c>
      <c r="D88" s="22" t="str">
        <f>'Costing inputs'!$U$88</f>
        <v>Central level</v>
      </c>
      <c r="E88" s="22" t="str">
        <f>'Regional splits'!$H$14</f>
        <v>Muchinga</v>
      </c>
      <c r="F88">
        <v>0</v>
      </c>
      <c r="G88">
        <v>0</v>
      </c>
      <c r="H88">
        <v>0</v>
      </c>
      <c r="I88">
        <v>0</v>
      </c>
      <c r="J88">
        <v>0</v>
      </c>
      <c r="K88">
        <v>0</v>
      </c>
      <c r="L88">
        <v>0</v>
      </c>
      <c r="M88">
        <v>0</v>
      </c>
      <c r="N88">
        <v>0</v>
      </c>
      <c r="O88">
        <v>0</v>
      </c>
      <c r="P88" s="5">
        <f t="shared" si="13"/>
        <v>0</v>
      </c>
      <c r="Q88">
        <f t="shared" si="14"/>
        <v>0</v>
      </c>
      <c r="R88">
        <f t="shared" si="15"/>
        <v>0</v>
      </c>
      <c r="S88">
        <f t="shared" si="16"/>
        <v>0</v>
      </c>
      <c r="T88">
        <f t="shared" si="17"/>
        <v>0</v>
      </c>
      <c r="U88">
        <f t="shared" si="18"/>
        <v>0</v>
      </c>
      <c r="V88">
        <f t="shared" si="19"/>
        <v>0</v>
      </c>
      <c r="W88">
        <f t="shared" si="20"/>
        <v>0</v>
      </c>
      <c r="X88">
        <f t="shared" si="21"/>
        <v>0</v>
      </c>
      <c r="Y88">
        <f t="shared" si="22"/>
        <v>0</v>
      </c>
      <c r="Z88">
        <f t="shared" si="23"/>
        <v>0</v>
      </c>
      <c r="AA88" t="str">
        <f>INDEX('Priority activities'!$D$5:$D$86,MATCH('Database for analysis'!C88,'Priority activities'!$C$5:$C$86,0))</f>
        <v>n/a</v>
      </c>
    </row>
    <row r="89" spans="2:27" ht="16.5" thickTop="1" thickBot="1" x14ac:dyDescent="0.3">
      <c r="B89" t="s">
        <v>147</v>
      </c>
      <c r="C89" s="22" t="str">
        <f>'Costing inputs'!$C$88</f>
        <v>Telecom and internet (n/a)</v>
      </c>
      <c r="D89" s="22" t="str">
        <f>'Costing inputs'!$U$88</f>
        <v>Central level</v>
      </c>
      <c r="E89" s="22" t="str">
        <f>'Regional splits'!$I$14</f>
        <v>Northern</v>
      </c>
      <c r="F89">
        <v>0</v>
      </c>
      <c r="G89">
        <v>0</v>
      </c>
      <c r="H89">
        <v>0</v>
      </c>
      <c r="I89">
        <v>0</v>
      </c>
      <c r="J89">
        <v>0</v>
      </c>
      <c r="K89">
        <v>0</v>
      </c>
      <c r="L89">
        <v>0</v>
      </c>
      <c r="M89">
        <v>0</v>
      </c>
      <c r="N89">
        <v>0</v>
      </c>
      <c r="O89">
        <v>0</v>
      </c>
      <c r="P89" s="5">
        <f t="shared" si="13"/>
        <v>0</v>
      </c>
      <c r="Q89">
        <f t="shared" si="14"/>
        <v>0</v>
      </c>
      <c r="R89">
        <f t="shared" si="15"/>
        <v>0</v>
      </c>
      <c r="S89">
        <f t="shared" si="16"/>
        <v>0</v>
      </c>
      <c r="T89">
        <f t="shared" si="17"/>
        <v>0</v>
      </c>
      <c r="U89">
        <f t="shared" si="18"/>
        <v>0</v>
      </c>
      <c r="V89">
        <f t="shared" si="19"/>
        <v>0</v>
      </c>
      <c r="W89">
        <f t="shared" si="20"/>
        <v>0</v>
      </c>
      <c r="X89">
        <f t="shared" si="21"/>
        <v>0</v>
      </c>
      <c r="Y89">
        <f t="shared" si="22"/>
        <v>0</v>
      </c>
      <c r="Z89">
        <f t="shared" si="23"/>
        <v>0</v>
      </c>
      <c r="AA89" t="str">
        <f>INDEX('Priority activities'!$D$5:$D$86,MATCH('Database for analysis'!C89,'Priority activities'!$C$5:$C$86,0))</f>
        <v>n/a</v>
      </c>
    </row>
    <row r="90" spans="2:27" ht="16.5" thickTop="1" thickBot="1" x14ac:dyDescent="0.3">
      <c r="B90" t="s">
        <v>147</v>
      </c>
      <c r="C90" s="22" t="str">
        <f>'Costing inputs'!$C$88</f>
        <v>Telecom and internet (n/a)</v>
      </c>
      <c r="D90" s="22" t="str">
        <f>'Costing inputs'!$U$88</f>
        <v>Central level</v>
      </c>
      <c r="E90" s="22" t="str">
        <f>'Regional splits'!$J$14</f>
        <v>North Western</v>
      </c>
      <c r="F90">
        <v>0</v>
      </c>
      <c r="G90">
        <v>0</v>
      </c>
      <c r="H90">
        <v>0</v>
      </c>
      <c r="I90">
        <v>0</v>
      </c>
      <c r="J90">
        <v>0</v>
      </c>
      <c r="K90">
        <v>0</v>
      </c>
      <c r="L90">
        <v>0</v>
      </c>
      <c r="M90">
        <v>0</v>
      </c>
      <c r="N90">
        <v>0</v>
      </c>
      <c r="O90">
        <v>0</v>
      </c>
      <c r="P90" s="5">
        <f t="shared" si="13"/>
        <v>0</v>
      </c>
      <c r="Q90">
        <f t="shared" si="14"/>
        <v>0</v>
      </c>
      <c r="R90">
        <f t="shared" si="15"/>
        <v>0</v>
      </c>
      <c r="S90">
        <f t="shared" si="16"/>
        <v>0</v>
      </c>
      <c r="T90">
        <f t="shared" si="17"/>
        <v>0</v>
      </c>
      <c r="U90">
        <f t="shared" si="18"/>
        <v>0</v>
      </c>
      <c r="V90">
        <f t="shared" si="19"/>
        <v>0</v>
      </c>
      <c r="W90">
        <f t="shared" si="20"/>
        <v>0</v>
      </c>
      <c r="X90">
        <f t="shared" si="21"/>
        <v>0</v>
      </c>
      <c r="Y90">
        <f t="shared" si="22"/>
        <v>0</v>
      </c>
      <c r="Z90">
        <f t="shared" si="23"/>
        <v>0</v>
      </c>
      <c r="AA90" t="str">
        <f>INDEX('Priority activities'!$D$5:$D$86,MATCH('Database for analysis'!C90,'Priority activities'!$C$5:$C$86,0))</f>
        <v>n/a</v>
      </c>
    </row>
    <row r="91" spans="2:27" ht="16.5" thickTop="1" thickBot="1" x14ac:dyDescent="0.3">
      <c r="B91" t="s">
        <v>147</v>
      </c>
      <c r="C91" s="22" t="str">
        <f>'Costing inputs'!$C$88</f>
        <v>Telecom and internet (n/a)</v>
      </c>
      <c r="D91" s="22" t="str">
        <f>'Costing inputs'!$U$88</f>
        <v>Central level</v>
      </c>
      <c r="E91" s="22" t="str">
        <f>'Regional splits'!$K$14</f>
        <v>Southern</v>
      </c>
      <c r="F91">
        <v>0</v>
      </c>
      <c r="G91">
        <v>0</v>
      </c>
      <c r="H91">
        <v>0</v>
      </c>
      <c r="I91">
        <v>0</v>
      </c>
      <c r="J91">
        <v>0</v>
      </c>
      <c r="K91">
        <v>0</v>
      </c>
      <c r="L91">
        <v>0</v>
      </c>
      <c r="M91">
        <v>0</v>
      </c>
      <c r="N91">
        <v>0</v>
      </c>
      <c r="O91">
        <v>0</v>
      </c>
      <c r="P91" s="5">
        <f t="shared" si="13"/>
        <v>0</v>
      </c>
      <c r="Q91">
        <f t="shared" si="14"/>
        <v>0</v>
      </c>
      <c r="R91">
        <f t="shared" si="15"/>
        <v>0</v>
      </c>
      <c r="S91">
        <f t="shared" si="16"/>
        <v>0</v>
      </c>
      <c r="T91">
        <f t="shared" si="17"/>
        <v>0</v>
      </c>
      <c r="U91">
        <f t="shared" si="18"/>
        <v>0</v>
      </c>
      <c r="V91">
        <f t="shared" si="19"/>
        <v>0</v>
      </c>
      <c r="W91">
        <f t="shared" si="20"/>
        <v>0</v>
      </c>
      <c r="X91">
        <f t="shared" si="21"/>
        <v>0</v>
      </c>
      <c r="Y91">
        <f t="shared" si="22"/>
        <v>0</v>
      </c>
      <c r="Z91">
        <f t="shared" si="23"/>
        <v>0</v>
      </c>
      <c r="AA91" t="str">
        <f>INDEX('Priority activities'!$D$5:$D$86,MATCH('Database for analysis'!C91,'Priority activities'!$C$5:$C$86,0))</f>
        <v>n/a</v>
      </c>
    </row>
    <row r="92" spans="2:27" ht="16.5" thickTop="1" thickBot="1" x14ac:dyDescent="0.3">
      <c r="B92" t="s">
        <v>147</v>
      </c>
      <c r="C92" s="22" t="str">
        <f>'Costing inputs'!$C$88</f>
        <v>Telecom and internet (n/a)</v>
      </c>
      <c r="D92" s="22" t="str">
        <f>'Costing inputs'!$U$88</f>
        <v>Central level</v>
      </c>
      <c r="E92" s="22" t="str">
        <f>'Regional splits'!$L$14</f>
        <v>Western</v>
      </c>
      <c r="F92">
        <v>0</v>
      </c>
      <c r="G92">
        <v>0</v>
      </c>
      <c r="H92">
        <v>0</v>
      </c>
      <c r="I92">
        <v>0</v>
      </c>
      <c r="J92">
        <v>0</v>
      </c>
      <c r="K92">
        <v>0</v>
      </c>
      <c r="L92">
        <v>0</v>
      </c>
      <c r="M92">
        <v>0</v>
      </c>
      <c r="N92">
        <v>0</v>
      </c>
      <c r="O92">
        <v>0</v>
      </c>
      <c r="P92" s="5">
        <f t="shared" si="13"/>
        <v>0</v>
      </c>
      <c r="Q92">
        <f t="shared" si="14"/>
        <v>0</v>
      </c>
      <c r="R92">
        <f t="shared" si="15"/>
        <v>0</v>
      </c>
      <c r="S92">
        <f t="shared" si="16"/>
        <v>0</v>
      </c>
      <c r="T92">
        <f t="shared" si="17"/>
        <v>0</v>
      </c>
      <c r="U92">
        <f t="shared" si="18"/>
        <v>0</v>
      </c>
      <c r="V92">
        <f t="shared" si="19"/>
        <v>0</v>
      </c>
      <c r="W92">
        <f t="shared" si="20"/>
        <v>0</v>
      </c>
      <c r="X92">
        <f t="shared" si="21"/>
        <v>0</v>
      </c>
      <c r="Y92">
        <f t="shared" si="22"/>
        <v>0</v>
      </c>
      <c r="Z92">
        <f t="shared" si="23"/>
        <v>0</v>
      </c>
      <c r="AA92" t="str">
        <f>INDEX('Priority activities'!$D$5:$D$86,MATCH('Database for analysis'!C92,'Priority activities'!$C$5:$C$86,0))</f>
        <v>n/a</v>
      </c>
    </row>
    <row r="93" spans="2:27" ht="16.5" thickTop="1" thickBot="1" x14ac:dyDescent="0.3">
      <c r="B93" t="s">
        <v>147</v>
      </c>
      <c r="C93" s="22" t="str">
        <f>'Costing inputs'!$C$88</f>
        <v>Telecom and internet (n/a)</v>
      </c>
      <c r="D93" s="22" t="str">
        <f>'Costing inputs'!$U$88</f>
        <v>Central level</v>
      </c>
      <c r="E93" s="22">
        <f>'Regional splits'!$M$14</f>
        <v>0</v>
      </c>
      <c r="F93">
        <v>0</v>
      </c>
      <c r="G93">
        <v>0</v>
      </c>
      <c r="H93">
        <v>0</v>
      </c>
      <c r="I93">
        <v>0</v>
      </c>
      <c r="J93">
        <v>0</v>
      </c>
      <c r="K93">
        <v>0</v>
      </c>
      <c r="L93">
        <v>0</v>
      </c>
      <c r="M93">
        <v>0</v>
      </c>
      <c r="N93">
        <v>0</v>
      </c>
      <c r="O93">
        <v>0</v>
      </c>
      <c r="P93" s="5">
        <f t="shared" si="13"/>
        <v>0</v>
      </c>
      <c r="Q93">
        <f t="shared" si="14"/>
        <v>0</v>
      </c>
      <c r="R93">
        <f t="shared" si="15"/>
        <v>0</v>
      </c>
      <c r="S93">
        <f t="shared" si="16"/>
        <v>0</v>
      </c>
      <c r="T93">
        <f t="shared" si="17"/>
        <v>0</v>
      </c>
      <c r="U93">
        <f t="shared" si="18"/>
        <v>0</v>
      </c>
      <c r="V93">
        <f t="shared" si="19"/>
        <v>0</v>
      </c>
      <c r="W93">
        <f t="shared" si="20"/>
        <v>0</v>
      </c>
      <c r="X93">
        <f t="shared" si="21"/>
        <v>0</v>
      </c>
      <c r="Y93">
        <f t="shared" si="22"/>
        <v>0</v>
      </c>
      <c r="Z93">
        <f t="shared" si="23"/>
        <v>0</v>
      </c>
      <c r="AA93" t="str">
        <f>INDEX('Priority activities'!$D$5:$D$86,MATCH('Database for analysis'!C93,'Priority activities'!$C$5:$C$86,0))</f>
        <v>n/a</v>
      </c>
    </row>
    <row r="94" spans="2:27" ht="16.5" thickTop="1" thickBot="1" x14ac:dyDescent="0.3">
      <c r="B94" t="s">
        <v>147</v>
      </c>
      <c r="C94" s="22" t="str">
        <f>'Costing inputs'!$C$88</f>
        <v>Telecom and internet (n/a)</v>
      </c>
      <c r="D94" s="22" t="str">
        <f>'Costing inputs'!$U$88</f>
        <v>Central level</v>
      </c>
      <c r="E94" s="22">
        <f>'Regional splits'!$N$14</f>
        <v>0</v>
      </c>
      <c r="F94">
        <v>0</v>
      </c>
      <c r="G94">
        <v>0</v>
      </c>
      <c r="H94">
        <v>0</v>
      </c>
      <c r="I94">
        <v>0</v>
      </c>
      <c r="J94">
        <v>0</v>
      </c>
      <c r="K94">
        <v>0</v>
      </c>
      <c r="L94">
        <v>0</v>
      </c>
      <c r="M94">
        <v>0</v>
      </c>
      <c r="N94">
        <v>0</v>
      </c>
      <c r="O94">
        <v>0</v>
      </c>
      <c r="P94" s="5">
        <f t="shared" si="13"/>
        <v>0</v>
      </c>
      <c r="Q94">
        <f t="shared" si="14"/>
        <v>0</v>
      </c>
      <c r="R94">
        <f t="shared" si="15"/>
        <v>0</v>
      </c>
      <c r="S94">
        <f t="shared" si="16"/>
        <v>0</v>
      </c>
      <c r="T94">
        <f t="shared" si="17"/>
        <v>0</v>
      </c>
      <c r="U94">
        <f t="shared" si="18"/>
        <v>0</v>
      </c>
      <c r="V94">
        <f t="shared" si="19"/>
        <v>0</v>
      </c>
      <c r="W94">
        <f t="shared" si="20"/>
        <v>0</v>
      </c>
      <c r="X94">
        <f t="shared" si="21"/>
        <v>0</v>
      </c>
      <c r="Y94">
        <f t="shared" si="22"/>
        <v>0</v>
      </c>
      <c r="Z94">
        <f t="shared" si="23"/>
        <v>0</v>
      </c>
      <c r="AA94" t="str">
        <f>INDEX('Priority activities'!$D$5:$D$86,MATCH('Database for analysis'!C94,'Priority activities'!$C$5:$C$86,0))</f>
        <v>n/a</v>
      </c>
    </row>
    <row r="95" spans="2:27" ht="16.5" thickTop="1" thickBot="1" x14ac:dyDescent="0.3">
      <c r="B95" t="s">
        <v>147</v>
      </c>
      <c r="C95" s="22" t="str">
        <f>'Costing inputs'!$C$88</f>
        <v>Telecom and internet (n/a)</v>
      </c>
      <c r="D95" s="22" t="str">
        <f>'Costing inputs'!$U$88</f>
        <v>Central level</v>
      </c>
      <c r="E95" s="22">
        <f>'Regional splits'!$O$14</f>
        <v>0</v>
      </c>
      <c r="F95">
        <v>0</v>
      </c>
      <c r="G95">
        <v>0</v>
      </c>
      <c r="H95">
        <v>0</v>
      </c>
      <c r="I95">
        <v>0</v>
      </c>
      <c r="J95">
        <v>0</v>
      </c>
      <c r="K95">
        <v>0</v>
      </c>
      <c r="L95">
        <v>0</v>
      </c>
      <c r="M95">
        <v>0</v>
      </c>
      <c r="N95">
        <v>0</v>
      </c>
      <c r="O95">
        <v>0</v>
      </c>
      <c r="P95" s="5">
        <f t="shared" si="13"/>
        <v>0</v>
      </c>
      <c r="Q95">
        <f t="shared" si="14"/>
        <v>0</v>
      </c>
      <c r="R95">
        <f t="shared" si="15"/>
        <v>0</v>
      </c>
      <c r="S95">
        <f t="shared" si="16"/>
        <v>0</v>
      </c>
      <c r="T95">
        <f t="shared" si="17"/>
        <v>0</v>
      </c>
      <c r="U95">
        <f t="shared" si="18"/>
        <v>0</v>
      </c>
      <c r="V95">
        <f t="shared" si="19"/>
        <v>0</v>
      </c>
      <c r="W95">
        <f t="shared" si="20"/>
        <v>0</v>
      </c>
      <c r="X95">
        <f t="shared" si="21"/>
        <v>0</v>
      </c>
      <c r="Y95">
        <f t="shared" si="22"/>
        <v>0</v>
      </c>
      <c r="Z95">
        <f t="shared" si="23"/>
        <v>0</v>
      </c>
      <c r="AA95" t="str">
        <f>INDEX('Priority activities'!$D$5:$D$86,MATCH('Database for analysis'!C95,'Priority activities'!$C$5:$C$86,0))</f>
        <v>n/a</v>
      </c>
    </row>
    <row r="96" spans="2:27" ht="16.5" thickTop="1" thickBot="1" x14ac:dyDescent="0.3">
      <c r="B96" t="s">
        <v>147</v>
      </c>
      <c r="C96" s="22" t="str">
        <f>'Costing inputs'!$C$88</f>
        <v>Telecom and internet (n/a)</v>
      </c>
      <c r="D96" s="22" t="str">
        <f>'Costing inputs'!$U$88</f>
        <v>Central level</v>
      </c>
      <c r="E96" s="22">
        <f>'Regional splits'!$P$14</f>
        <v>0</v>
      </c>
      <c r="F96">
        <v>0</v>
      </c>
      <c r="G96">
        <v>0</v>
      </c>
      <c r="H96">
        <v>0</v>
      </c>
      <c r="I96">
        <v>0</v>
      </c>
      <c r="J96">
        <v>0</v>
      </c>
      <c r="K96">
        <v>0</v>
      </c>
      <c r="L96">
        <v>0</v>
      </c>
      <c r="M96">
        <v>0</v>
      </c>
      <c r="N96">
        <v>0</v>
      </c>
      <c r="O96">
        <v>0</v>
      </c>
      <c r="P96" s="5">
        <f t="shared" si="13"/>
        <v>0</v>
      </c>
      <c r="Q96">
        <f t="shared" si="14"/>
        <v>0</v>
      </c>
      <c r="R96">
        <f t="shared" si="15"/>
        <v>0</v>
      </c>
      <c r="S96">
        <f t="shared" si="16"/>
        <v>0</v>
      </c>
      <c r="T96">
        <f t="shared" si="17"/>
        <v>0</v>
      </c>
      <c r="U96">
        <f t="shared" si="18"/>
        <v>0</v>
      </c>
      <c r="V96">
        <f t="shared" si="19"/>
        <v>0</v>
      </c>
      <c r="W96">
        <f t="shared" si="20"/>
        <v>0</v>
      </c>
      <c r="X96">
        <f t="shared" si="21"/>
        <v>0</v>
      </c>
      <c r="Y96">
        <f t="shared" si="22"/>
        <v>0</v>
      </c>
      <c r="Z96">
        <f t="shared" si="23"/>
        <v>0</v>
      </c>
      <c r="AA96" t="str">
        <f>INDEX('Priority activities'!$D$5:$D$86,MATCH('Database for analysis'!C96,'Priority activities'!$C$5:$C$86,0))</f>
        <v>n/a</v>
      </c>
    </row>
    <row r="97" spans="2:27" ht="16.5" thickTop="1" thickBot="1" x14ac:dyDescent="0.3">
      <c r="B97" t="s">
        <v>147</v>
      </c>
      <c r="C97" s="22" t="str">
        <f>'Costing inputs'!$C$88</f>
        <v>Telecom and internet (n/a)</v>
      </c>
      <c r="D97" s="22" t="str">
        <f>'Costing inputs'!$U$88</f>
        <v>Central level</v>
      </c>
      <c r="E97" s="22">
        <f>'Regional splits'!$Q$14</f>
        <v>0</v>
      </c>
      <c r="F97">
        <v>0</v>
      </c>
      <c r="G97">
        <v>0</v>
      </c>
      <c r="H97">
        <v>0</v>
      </c>
      <c r="I97">
        <v>0</v>
      </c>
      <c r="J97">
        <v>0</v>
      </c>
      <c r="K97">
        <v>0</v>
      </c>
      <c r="L97">
        <v>0</v>
      </c>
      <c r="M97">
        <v>0</v>
      </c>
      <c r="N97">
        <v>0</v>
      </c>
      <c r="O97">
        <v>0</v>
      </c>
      <c r="P97" s="5">
        <f t="shared" si="13"/>
        <v>0</v>
      </c>
      <c r="Q97">
        <f t="shared" si="14"/>
        <v>0</v>
      </c>
      <c r="R97">
        <f t="shared" si="15"/>
        <v>0</v>
      </c>
      <c r="S97">
        <f t="shared" si="16"/>
        <v>0</v>
      </c>
      <c r="T97">
        <f t="shared" si="17"/>
        <v>0</v>
      </c>
      <c r="U97">
        <f t="shared" si="18"/>
        <v>0</v>
      </c>
      <c r="V97">
        <f t="shared" si="19"/>
        <v>0</v>
      </c>
      <c r="W97">
        <f t="shared" si="20"/>
        <v>0</v>
      </c>
      <c r="X97">
        <f t="shared" si="21"/>
        <v>0</v>
      </c>
      <c r="Y97">
        <f t="shared" si="22"/>
        <v>0</v>
      </c>
      <c r="Z97">
        <f t="shared" si="23"/>
        <v>0</v>
      </c>
      <c r="AA97" t="str">
        <f>INDEX('Priority activities'!$D$5:$D$86,MATCH('Database for analysis'!C97,'Priority activities'!$C$5:$C$86,0))</f>
        <v>n/a</v>
      </c>
    </row>
    <row r="98" spans="2:27" ht="16.5" thickTop="1" thickBot="1" x14ac:dyDescent="0.3">
      <c r="B98" t="s">
        <v>147</v>
      </c>
      <c r="C98" s="22" t="str">
        <f>'Costing inputs'!$C$88</f>
        <v>Telecom and internet (n/a)</v>
      </c>
      <c r="D98" s="22" t="str">
        <f>'Costing inputs'!$U$88</f>
        <v>Central level</v>
      </c>
      <c r="E98" s="22" t="str">
        <f>'Regional splits'!$R$14</f>
        <v>National-level</v>
      </c>
      <c r="F98">
        <v>0</v>
      </c>
      <c r="G98">
        <v>0</v>
      </c>
      <c r="H98">
        <v>0</v>
      </c>
      <c r="I98">
        <v>0</v>
      </c>
      <c r="J98">
        <v>0</v>
      </c>
      <c r="K98">
        <v>0</v>
      </c>
      <c r="L98">
        <v>0</v>
      </c>
      <c r="M98">
        <v>0</v>
      </c>
      <c r="N98">
        <v>0</v>
      </c>
      <c r="O98">
        <v>0</v>
      </c>
      <c r="P98" s="5">
        <f t="shared" si="13"/>
        <v>0</v>
      </c>
      <c r="Q98">
        <f t="shared" si="14"/>
        <v>0</v>
      </c>
      <c r="R98">
        <f t="shared" si="15"/>
        <v>0</v>
      </c>
      <c r="S98">
        <f t="shared" si="16"/>
        <v>0</v>
      </c>
      <c r="T98">
        <f t="shared" si="17"/>
        <v>0</v>
      </c>
      <c r="U98">
        <f t="shared" si="18"/>
        <v>0</v>
      </c>
      <c r="V98">
        <f t="shared" si="19"/>
        <v>0</v>
      </c>
      <c r="W98">
        <f t="shared" si="20"/>
        <v>0</v>
      </c>
      <c r="X98">
        <f t="shared" si="21"/>
        <v>0</v>
      </c>
      <c r="Y98">
        <f t="shared" si="22"/>
        <v>0</v>
      </c>
      <c r="Z98">
        <f t="shared" si="23"/>
        <v>0</v>
      </c>
      <c r="AA98" t="str">
        <f>INDEX('Priority activities'!$D$5:$D$86,MATCH('Database for analysis'!C98,'Priority activities'!$C$5:$C$86,0))</f>
        <v>n/a</v>
      </c>
    </row>
    <row r="99" spans="2:27" ht="16.5" thickTop="1" thickBot="1" x14ac:dyDescent="0.3">
      <c r="B99" t="s">
        <v>147</v>
      </c>
      <c r="C99" s="22" t="str">
        <f>'Costing inputs'!$C$95</f>
        <v>In-person health campaigns (D.1.4)</v>
      </c>
      <c r="D99" s="22" t="str">
        <f>'Costing inputs'!$U$95</f>
        <v>Central level</v>
      </c>
      <c r="E99" s="22" t="str">
        <f>'Regional splits'!$C$14</f>
        <v>Central</v>
      </c>
      <c r="F99">
        <f t="array" ref="F99:O114">'Costing inputs'!S95*'Costing inputs'!AP95:AY95*TRANSPOSE('Costing inputs'!W95:AL95)</f>
        <v>0</v>
      </c>
      <c r="G99">
        <v>0</v>
      </c>
      <c r="H99">
        <v>0</v>
      </c>
      <c r="I99">
        <v>0</v>
      </c>
      <c r="J99">
        <v>0</v>
      </c>
      <c r="K99">
        <v>0</v>
      </c>
      <c r="L99">
        <v>0</v>
      </c>
      <c r="M99">
        <v>0</v>
      </c>
      <c r="N99">
        <v>0</v>
      </c>
      <c r="O99">
        <v>0</v>
      </c>
      <c r="P99" s="5">
        <f t="shared" si="13"/>
        <v>0</v>
      </c>
      <c r="Q99">
        <f t="shared" si="14"/>
        <v>0</v>
      </c>
      <c r="R99">
        <f t="shared" si="15"/>
        <v>0</v>
      </c>
      <c r="S99">
        <f t="shared" si="16"/>
        <v>0</v>
      </c>
      <c r="T99">
        <f t="shared" si="17"/>
        <v>0</v>
      </c>
      <c r="U99">
        <f t="shared" si="18"/>
        <v>0</v>
      </c>
      <c r="V99">
        <f t="shared" si="19"/>
        <v>0</v>
      </c>
      <c r="W99">
        <f t="shared" si="20"/>
        <v>0</v>
      </c>
      <c r="X99">
        <f t="shared" si="21"/>
        <v>0</v>
      </c>
      <c r="Y99">
        <f t="shared" si="22"/>
        <v>0</v>
      </c>
      <c r="Z99">
        <f t="shared" si="23"/>
        <v>0</v>
      </c>
      <c r="AA99" t="str">
        <f>INDEX('Priority activities'!$D$5:$D$86,MATCH('Database for analysis'!C99,'Priority activities'!$C$5:$C$86,0))</f>
        <v>FP demand generation and behaviour change communication</v>
      </c>
    </row>
    <row r="100" spans="2:27" ht="16.5" thickTop="1" thickBot="1" x14ac:dyDescent="0.3">
      <c r="B100" t="s">
        <v>147</v>
      </c>
      <c r="C100" s="22" t="str">
        <f>'Costing inputs'!$C$95</f>
        <v>In-person health campaigns (D.1.4)</v>
      </c>
      <c r="D100" s="22" t="str">
        <f>'Costing inputs'!$U$95</f>
        <v>Central level</v>
      </c>
      <c r="E100" s="22" t="str">
        <f>'Regional splits'!$D$14</f>
        <v>Copperbelt</v>
      </c>
      <c r="F100">
        <v>0</v>
      </c>
      <c r="G100">
        <v>0</v>
      </c>
      <c r="H100">
        <v>0</v>
      </c>
      <c r="I100">
        <v>0</v>
      </c>
      <c r="J100">
        <v>0</v>
      </c>
      <c r="K100">
        <v>0</v>
      </c>
      <c r="L100">
        <v>0</v>
      </c>
      <c r="M100">
        <v>0</v>
      </c>
      <c r="N100">
        <v>0</v>
      </c>
      <c r="O100">
        <v>0</v>
      </c>
      <c r="P100" s="5">
        <f t="shared" si="13"/>
        <v>0</v>
      </c>
      <c r="Q100">
        <f t="shared" si="14"/>
        <v>0</v>
      </c>
      <c r="R100">
        <f t="shared" si="15"/>
        <v>0</v>
      </c>
      <c r="S100">
        <f t="shared" si="16"/>
        <v>0</v>
      </c>
      <c r="T100">
        <f t="shared" si="17"/>
        <v>0</v>
      </c>
      <c r="U100">
        <f t="shared" si="18"/>
        <v>0</v>
      </c>
      <c r="V100">
        <f t="shared" si="19"/>
        <v>0</v>
      </c>
      <c r="W100">
        <f t="shared" si="20"/>
        <v>0</v>
      </c>
      <c r="X100">
        <f t="shared" si="21"/>
        <v>0</v>
      </c>
      <c r="Y100">
        <f t="shared" si="22"/>
        <v>0</v>
      </c>
      <c r="Z100">
        <f t="shared" si="23"/>
        <v>0</v>
      </c>
      <c r="AA100" t="str">
        <f>INDEX('Priority activities'!$D$5:$D$86,MATCH('Database for analysis'!C100,'Priority activities'!$C$5:$C$86,0))</f>
        <v>FP demand generation and behaviour change communication</v>
      </c>
    </row>
    <row r="101" spans="2:27" ht="16.5" thickTop="1" thickBot="1" x14ac:dyDescent="0.3">
      <c r="B101" t="s">
        <v>147</v>
      </c>
      <c r="C101" s="22" t="str">
        <f>'Costing inputs'!$C$95</f>
        <v>In-person health campaigns (D.1.4)</v>
      </c>
      <c r="D101" s="22" t="str">
        <f>'Costing inputs'!$U$95</f>
        <v>Central level</v>
      </c>
      <c r="E101" s="22" t="str">
        <f>'Regional splits'!$E$14</f>
        <v>Eastern</v>
      </c>
      <c r="F101">
        <v>0</v>
      </c>
      <c r="G101">
        <v>0</v>
      </c>
      <c r="H101">
        <v>0</v>
      </c>
      <c r="I101">
        <v>0</v>
      </c>
      <c r="J101">
        <v>0</v>
      </c>
      <c r="K101">
        <v>0</v>
      </c>
      <c r="L101">
        <v>0</v>
      </c>
      <c r="M101">
        <v>0</v>
      </c>
      <c r="N101">
        <v>0</v>
      </c>
      <c r="O101">
        <v>0</v>
      </c>
      <c r="P101" s="5">
        <f t="shared" si="13"/>
        <v>0</v>
      </c>
      <c r="Q101">
        <f t="shared" si="14"/>
        <v>0</v>
      </c>
      <c r="R101">
        <f t="shared" si="15"/>
        <v>0</v>
      </c>
      <c r="S101">
        <f t="shared" si="16"/>
        <v>0</v>
      </c>
      <c r="T101">
        <f t="shared" si="17"/>
        <v>0</v>
      </c>
      <c r="U101">
        <f t="shared" si="18"/>
        <v>0</v>
      </c>
      <c r="V101">
        <f t="shared" si="19"/>
        <v>0</v>
      </c>
      <c r="W101">
        <f t="shared" si="20"/>
        <v>0</v>
      </c>
      <c r="X101">
        <f t="shared" si="21"/>
        <v>0</v>
      </c>
      <c r="Y101">
        <f t="shared" si="22"/>
        <v>0</v>
      </c>
      <c r="Z101">
        <f t="shared" si="23"/>
        <v>0</v>
      </c>
      <c r="AA101" t="str">
        <f>INDEX('Priority activities'!$D$5:$D$86,MATCH('Database for analysis'!C101,'Priority activities'!$C$5:$C$86,0))</f>
        <v>FP demand generation and behaviour change communication</v>
      </c>
    </row>
    <row r="102" spans="2:27" ht="16.5" thickTop="1" thickBot="1" x14ac:dyDescent="0.3">
      <c r="B102" t="s">
        <v>147</v>
      </c>
      <c r="C102" s="22" t="str">
        <f>'Costing inputs'!$C$95</f>
        <v>In-person health campaigns (D.1.4)</v>
      </c>
      <c r="D102" s="22" t="str">
        <f>'Costing inputs'!$U$95</f>
        <v>Central level</v>
      </c>
      <c r="E102" s="22" t="str">
        <f>'Regional splits'!$F$14</f>
        <v>Luapula</v>
      </c>
      <c r="F102">
        <v>0</v>
      </c>
      <c r="G102">
        <v>0</v>
      </c>
      <c r="H102">
        <v>0</v>
      </c>
      <c r="I102">
        <v>0</v>
      </c>
      <c r="J102">
        <v>0</v>
      </c>
      <c r="K102">
        <v>0</v>
      </c>
      <c r="L102">
        <v>0</v>
      </c>
      <c r="M102">
        <v>0</v>
      </c>
      <c r="N102">
        <v>0</v>
      </c>
      <c r="O102">
        <v>0</v>
      </c>
      <c r="P102" s="5">
        <f t="shared" si="13"/>
        <v>0</v>
      </c>
      <c r="Q102">
        <f t="shared" si="14"/>
        <v>0</v>
      </c>
      <c r="R102">
        <f t="shared" si="15"/>
        <v>0</v>
      </c>
      <c r="S102">
        <f t="shared" si="16"/>
        <v>0</v>
      </c>
      <c r="T102">
        <f t="shared" si="17"/>
        <v>0</v>
      </c>
      <c r="U102">
        <f t="shared" si="18"/>
        <v>0</v>
      </c>
      <c r="V102">
        <f t="shared" si="19"/>
        <v>0</v>
      </c>
      <c r="W102">
        <f t="shared" si="20"/>
        <v>0</v>
      </c>
      <c r="X102">
        <f t="shared" si="21"/>
        <v>0</v>
      </c>
      <c r="Y102">
        <f t="shared" si="22"/>
        <v>0</v>
      </c>
      <c r="Z102">
        <f t="shared" si="23"/>
        <v>0</v>
      </c>
      <c r="AA102" t="str">
        <f>INDEX('Priority activities'!$D$5:$D$86,MATCH('Database for analysis'!C102,'Priority activities'!$C$5:$C$86,0))</f>
        <v>FP demand generation and behaviour change communication</v>
      </c>
    </row>
    <row r="103" spans="2:27" ht="16.5" thickTop="1" thickBot="1" x14ac:dyDescent="0.3">
      <c r="B103" t="s">
        <v>147</v>
      </c>
      <c r="C103" s="22" t="str">
        <f>'Costing inputs'!$C$95</f>
        <v>In-person health campaigns (D.1.4)</v>
      </c>
      <c r="D103" s="22" t="str">
        <f>'Costing inputs'!$U$95</f>
        <v>Central level</v>
      </c>
      <c r="E103" s="22" t="str">
        <f>'Regional splits'!$G$14</f>
        <v>Lusaka</v>
      </c>
      <c r="F103">
        <v>0</v>
      </c>
      <c r="G103">
        <v>0</v>
      </c>
      <c r="H103">
        <v>0</v>
      </c>
      <c r="I103">
        <v>0</v>
      </c>
      <c r="J103">
        <v>0</v>
      </c>
      <c r="K103">
        <v>0</v>
      </c>
      <c r="L103">
        <v>0</v>
      </c>
      <c r="M103">
        <v>0</v>
      </c>
      <c r="N103">
        <v>0</v>
      </c>
      <c r="O103">
        <v>0</v>
      </c>
      <c r="P103" s="5">
        <f t="shared" si="13"/>
        <v>0</v>
      </c>
      <c r="Q103">
        <f t="shared" si="14"/>
        <v>0</v>
      </c>
      <c r="R103">
        <f t="shared" si="15"/>
        <v>0</v>
      </c>
      <c r="S103">
        <f t="shared" si="16"/>
        <v>0</v>
      </c>
      <c r="T103">
        <f t="shared" si="17"/>
        <v>0</v>
      </c>
      <c r="U103">
        <f t="shared" si="18"/>
        <v>0</v>
      </c>
      <c r="V103">
        <f t="shared" si="19"/>
        <v>0</v>
      </c>
      <c r="W103">
        <f t="shared" si="20"/>
        <v>0</v>
      </c>
      <c r="X103">
        <f t="shared" si="21"/>
        <v>0</v>
      </c>
      <c r="Y103">
        <f t="shared" si="22"/>
        <v>0</v>
      </c>
      <c r="Z103">
        <f t="shared" si="23"/>
        <v>0</v>
      </c>
      <c r="AA103" t="str">
        <f>INDEX('Priority activities'!$D$5:$D$86,MATCH('Database for analysis'!C103,'Priority activities'!$C$5:$C$86,0))</f>
        <v>FP demand generation and behaviour change communication</v>
      </c>
    </row>
    <row r="104" spans="2:27" ht="16.5" thickTop="1" thickBot="1" x14ac:dyDescent="0.3">
      <c r="B104" t="s">
        <v>147</v>
      </c>
      <c r="C104" s="22" t="str">
        <f>'Costing inputs'!$C$95</f>
        <v>In-person health campaigns (D.1.4)</v>
      </c>
      <c r="D104" s="22" t="str">
        <f>'Costing inputs'!$U$95</f>
        <v>Central level</v>
      </c>
      <c r="E104" s="22" t="str">
        <f>'Regional splits'!$H$14</f>
        <v>Muchinga</v>
      </c>
      <c r="F104">
        <v>0</v>
      </c>
      <c r="G104">
        <v>0</v>
      </c>
      <c r="H104">
        <v>0</v>
      </c>
      <c r="I104">
        <v>0</v>
      </c>
      <c r="J104">
        <v>0</v>
      </c>
      <c r="K104">
        <v>0</v>
      </c>
      <c r="L104">
        <v>0</v>
      </c>
      <c r="M104">
        <v>0</v>
      </c>
      <c r="N104">
        <v>0</v>
      </c>
      <c r="O104">
        <v>0</v>
      </c>
      <c r="P104" s="5">
        <f t="shared" si="13"/>
        <v>0</v>
      </c>
      <c r="Q104">
        <f t="shared" si="14"/>
        <v>0</v>
      </c>
      <c r="R104">
        <f t="shared" si="15"/>
        <v>0</v>
      </c>
      <c r="S104">
        <f t="shared" si="16"/>
        <v>0</v>
      </c>
      <c r="T104">
        <f t="shared" si="17"/>
        <v>0</v>
      </c>
      <c r="U104">
        <f t="shared" si="18"/>
        <v>0</v>
      </c>
      <c r="V104">
        <f t="shared" si="19"/>
        <v>0</v>
      </c>
      <c r="W104">
        <f t="shared" si="20"/>
        <v>0</v>
      </c>
      <c r="X104">
        <f t="shared" si="21"/>
        <v>0</v>
      </c>
      <c r="Y104">
        <f t="shared" si="22"/>
        <v>0</v>
      </c>
      <c r="Z104">
        <f t="shared" si="23"/>
        <v>0</v>
      </c>
      <c r="AA104" t="str">
        <f>INDEX('Priority activities'!$D$5:$D$86,MATCH('Database for analysis'!C104,'Priority activities'!$C$5:$C$86,0))</f>
        <v>FP demand generation and behaviour change communication</v>
      </c>
    </row>
    <row r="105" spans="2:27" ht="16.5" thickTop="1" thickBot="1" x14ac:dyDescent="0.3">
      <c r="B105" t="s">
        <v>147</v>
      </c>
      <c r="C105" s="22" t="str">
        <f>'Costing inputs'!$C$95</f>
        <v>In-person health campaigns (D.1.4)</v>
      </c>
      <c r="D105" s="22" t="str">
        <f>'Costing inputs'!$U$95</f>
        <v>Central level</v>
      </c>
      <c r="E105" s="22" t="str">
        <f>'Regional splits'!$I$14</f>
        <v>Northern</v>
      </c>
      <c r="F105">
        <v>0</v>
      </c>
      <c r="G105">
        <v>0</v>
      </c>
      <c r="H105">
        <v>0</v>
      </c>
      <c r="I105">
        <v>0</v>
      </c>
      <c r="J105">
        <v>0</v>
      </c>
      <c r="K105">
        <v>0</v>
      </c>
      <c r="L105">
        <v>0</v>
      </c>
      <c r="M105">
        <v>0</v>
      </c>
      <c r="N105">
        <v>0</v>
      </c>
      <c r="O105">
        <v>0</v>
      </c>
      <c r="P105" s="5">
        <f t="shared" si="13"/>
        <v>0</v>
      </c>
      <c r="Q105">
        <f t="shared" si="14"/>
        <v>0</v>
      </c>
      <c r="R105">
        <f t="shared" si="15"/>
        <v>0</v>
      </c>
      <c r="S105">
        <f t="shared" si="16"/>
        <v>0</v>
      </c>
      <c r="T105">
        <f t="shared" si="17"/>
        <v>0</v>
      </c>
      <c r="U105">
        <f t="shared" si="18"/>
        <v>0</v>
      </c>
      <c r="V105">
        <f t="shared" si="19"/>
        <v>0</v>
      </c>
      <c r="W105">
        <f t="shared" si="20"/>
        <v>0</v>
      </c>
      <c r="X105">
        <f t="shared" si="21"/>
        <v>0</v>
      </c>
      <c r="Y105">
        <f t="shared" si="22"/>
        <v>0</v>
      </c>
      <c r="Z105">
        <f t="shared" si="23"/>
        <v>0</v>
      </c>
      <c r="AA105" t="str">
        <f>INDEX('Priority activities'!$D$5:$D$86,MATCH('Database for analysis'!C105,'Priority activities'!$C$5:$C$86,0))</f>
        <v>FP demand generation and behaviour change communication</v>
      </c>
    </row>
    <row r="106" spans="2:27" ht="16.5" thickTop="1" thickBot="1" x14ac:dyDescent="0.3">
      <c r="B106" t="s">
        <v>147</v>
      </c>
      <c r="C106" s="22" t="str">
        <f>'Costing inputs'!$C$95</f>
        <v>In-person health campaigns (D.1.4)</v>
      </c>
      <c r="D106" s="22" t="str">
        <f>'Costing inputs'!$U$95</f>
        <v>Central level</v>
      </c>
      <c r="E106" s="22" t="str">
        <f>'Regional splits'!$J$14</f>
        <v>North Western</v>
      </c>
      <c r="F106">
        <v>0</v>
      </c>
      <c r="G106">
        <v>0</v>
      </c>
      <c r="H106">
        <v>0</v>
      </c>
      <c r="I106">
        <v>0</v>
      </c>
      <c r="J106">
        <v>0</v>
      </c>
      <c r="K106">
        <v>0</v>
      </c>
      <c r="L106">
        <v>0</v>
      </c>
      <c r="M106">
        <v>0</v>
      </c>
      <c r="N106">
        <v>0</v>
      </c>
      <c r="O106">
        <v>0</v>
      </c>
      <c r="P106" s="5">
        <f t="shared" si="13"/>
        <v>0</v>
      </c>
      <c r="Q106">
        <f t="shared" si="14"/>
        <v>0</v>
      </c>
      <c r="R106">
        <f t="shared" si="15"/>
        <v>0</v>
      </c>
      <c r="S106">
        <f t="shared" si="16"/>
        <v>0</v>
      </c>
      <c r="T106">
        <f t="shared" si="17"/>
        <v>0</v>
      </c>
      <c r="U106">
        <f t="shared" si="18"/>
        <v>0</v>
      </c>
      <c r="V106">
        <f t="shared" si="19"/>
        <v>0</v>
      </c>
      <c r="W106">
        <f t="shared" si="20"/>
        <v>0</v>
      </c>
      <c r="X106">
        <f t="shared" si="21"/>
        <v>0</v>
      </c>
      <c r="Y106">
        <f t="shared" si="22"/>
        <v>0</v>
      </c>
      <c r="Z106">
        <f t="shared" si="23"/>
        <v>0</v>
      </c>
      <c r="AA106" t="str">
        <f>INDEX('Priority activities'!$D$5:$D$86,MATCH('Database for analysis'!C106,'Priority activities'!$C$5:$C$86,0))</f>
        <v>FP demand generation and behaviour change communication</v>
      </c>
    </row>
    <row r="107" spans="2:27" ht="16.5" thickTop="1" thickBot="1" x14ac:dyDescent="0.3">
      <c r="B107" t="s">
        <v>147</v>
      </c>
      <c r="C107" s="22" t="str">
        <f>'Costing inputs'!$C$95</f>
        <v>In-person health campaigns (D.1.4)</v>
      </c>
      <c r="D107" s="22" t="str">
        <f>'Costing inputs'!$U$95</f>
        <v>Central level</v>
      </c>
      <c r="E107" s="22" t="str">
        <f>'Regional splits'!$K$14</f>
        <v>Southern</v>
      </c>
      <c r="F107">
        <v>0</v>
      </c>
      <c r="G107">
        <v>0</v>
      </c>
      <c r="H107">
        <v>0</v>
      </c>
      <c r="I107">
        <v>0</v>
      </c>
      <c r="J107">
        <v>0</v>
      </c>
      <c r="K107">
        <v>0</v>
      </c>
      <c r="L107">
        <v>0</v>
      </c>
      <c r="M107">
        <v>0</v>
      </c>
      <c r="N107">
        <v>0</v>
      </c>
      <c r="O107">
        <v>0</v>
      </c>
      <c r="P107" s="5">
        <f t="shared" si="13"/>
        <v>0</v>
      </c>
      <c r="Q107">
        <f t="shared" si="14"/>
        <v>0</v>
      </c>
      <c r="R107">
        <f t="shared" si="15"/>
        <v>0</v>
      </c>
      <c r="S107">
        <f t="shared" si="16"/>
        <v>0</v>
      </c>
      <c r="T107">
        <f t="shared" si="17"/>
        <v>0</v>
      </c>
      <c r="U107">
        <f t="shared" si="18"/>
        <v>0</v>
      </c>
      <c r="V107">
        <f t="shared" si="19"/>
        <v>0</v>
      </c>
      <c r="W107">
        <f t="shared" si="20"/>
        <v>0</v>
      </c>
      <c r="X107">
        <f t="shared" si="21"/>
        <v>0</v>
      </c>
      <c r="Y107">
        <f t="shared" si="22"/>
        <v>0</v>
      </c>
      <c r="Z107">
        <f t="shared" si="23"/>
        <v>0</v>
      </c>
      <c r="AA107" t="str">
        <f>INDEX('Priority activities'!$D$5:$D$86,MATCH('Database for analysis'!C107,'Priority activities'!$C$5:$C$86,0))</f>
        <v>FP demand generation and behaviour change communication</v>
      </c>
    </row>
    <row r="108" spans="2:27" ht="16.5" thickTop="1" thickBot="1" x14ac:dyDescent="0.3">
      <c r="B108" t="s">
        <v>147</v>
      </c>
      <c r="C108" s="22" t="str">
        <f>'Costing inputs'!$C$95</f>
        <v>In-person health campaigns (D.1.4)</v>
      </c>
      <c r="D108" s="22" t="str">
        <f>'Costing inputs'!$U$95</f>
        <v>Central level</v>
      </c>
      <c r="E108" s="22" t="str">
        <f>'Regional splits'!$L$14</f>
        <v>Western</v>
      </c>
      <c r="F108">
        <v>0</v>
      </c>
      <c r="G108">
        <v>0</v>
      </c>
      <c r="H108">
        <v>0</v>
      </c>
      <c r="I108">
        <v>0</v>
      </c>
      <c r="J108">
        <v>0</v>
      </c>
      <c r="K108">
        <v>0</v>
      </c>
      <c r="L108">
        <v>0</v>
      </c>
      <c r="M108">
        <v>0</v>
      </c>
      <c r="N108">
        <v>0</v>
      </c>
      <c r="O108">
        <v>0</v>
      </c>
      <c r="P108" s="5">
        <f t="shared" si="13"/>
        <v>0</v>
      </c>
      <c r="Q108">
        <f t="shared" si="14"/>
        <v>0</v>
      </c>
      <c r="R108">
        <f t="shared" si="15"/>
        <v>0</v>
      </c>
      <c r="S108">
        <f t="shared" si="16"/>
        <v>0</v>
      </c>
      <c r="T108">
        <f t="shared" si="17"/>
        <v>0</v>
      </c>
      <c r="U108">
        <f t="shared" si="18"/>
        <v>0</v>
      </c>
      <c r="V108">
        <f t="shared" si="19"/>
        <v>0</v>
      </c>
      <c r="W108">
        <f t="shared" si="20"/>
        <v>0</v>
      </c>
      <c r="X108">
        <f t="shared" si="21"/>
        <v>0</v>
      </c>
      <c r="Y108">
        <f t="shared" si="22"/>
        <v>0</v>
      </c>
      <c r="Z108">
        <f t="shared" si="23"/>
        <v>0</v>
      </c>
      <c r="AA108" t="str">
        <f>INDEX('Priority activities'!$D$5:$D$86,MATCH('Database for analysis'!C108,'Priority activities'!$C$5:$C$86,0))</f>
        <v>FP demand generation and behaviour change communication</v>
      </c>
    </row>
    <row r="109" spans="2:27" ht="16.5" thickTop="1" thickBot="1" x14ac:dyDescent="0.3">
      <c r="B109" t="s">
        <v>147</v>
      </c>
      <c r="C109" s="22" t="str">
        <f>'Costing inputs'!$C$95</f>
        <v>In-person health campaigns (D.1.4)</v>
      </c>
      <c r="D109" s="22" t="str">
        <f>'Costing inputs'!$U$95</f>
        <v>Central level</v>
      </c>
      <c r="E109" s="22">
        <f>'Regional splits'!$M$14</f>
        <v>0</v>
      </c>
      <c r="F109">
        <v>0</v>
      </c>
      <c r="G109">
        <v>0</v>
      </c>
      <c r="H109">
        <v>0</v>
      </c>
      <c r="I109">
        <v>0</v>
      </c>
      <c r="J109">
        <v>0</v>
      </c>
      <c r="K109">
        <v>0</v>
      </c>
      <c r="L109">
        <v>0</v>
      </c>
      <c r="M109">
        <v>0</v>
      </c>
      <c r="N109">
        <v>0</v>
      </c>
      <c r="O109">
        <v>0</v>
      </c>
      <c r="P109" s="5">
        <f t="shared" si="13"/>
        <v>0</v>
      </c>
      <c r="Q109">
        <f t="shared" si="14"/>
        <v>0</v>
      </c>
      <c r="R109">
        <f t="shared" si="15"/>
        <v>0</v>
      </c>
      <c r="S109">
        <f t="shared" si="16"/>
        <v>0</v>
      </c>
      <c r="T109">
        <f t="shared" si="17"/>
        <v>0</v>
      </c>
      <c r="U109">
        <f t="shared" si="18"/>
        <v>0</v>
      </c>
      <c r="V109">
        <f t="shared" si="19"/>
        <v>0</v>
      </c>
      <c r="W109">
        <f t="shared" si="20"/>
        <v>0</v>
      </c>
      <c r="X109">
        <f t="shared" si="21"/>
        <v>0</v>
      </c>
      <c r="Y109">
        <f t="shared" si="22"/>
        <v>0</v>
      </c>
      <c r="Z109">
        <f t="shared" si="23"/>
        <v>0</v>
      </c>
      <c r="AA109" t="str">
        <f>INDEX('Priority activities'!$D$5:$D$86,MATCH('Database for analysis'!C109,'Priority activities'!$C$5:$C$86,0))</f>
        <v>FP demand generation and behaviour change communication</v>
      </c>
    </row>
    <row r="110" spans="2:27" ht="16.5" thickTop="1" thickBot="1" x14ac:dyDescent="0.3">
      <c r="B110" t="s">
        <v>147</v>
      </c>
      <c r="C110" s="22" t="str">
        <f>'Costing inputs'!$C$95</f>
        <v>In-person health campaigns (D.1.4)</v>
      </c>
      <c r="D110" s="22" t="str">
        <f>'Costing inputs'!$U$95</f>
        <v>Central level</v>
      </c>
      <c r="E110" s="22">
        <f>'Regional splits'!$N$14</f>
        <v>0</v>
      </c>
      <c r="F110">
        <v>0</v>
      </c>
      <c r="G110">
        <v>0</v>
      </c>
      <c r="H110">
        <v>0</v>
      </c>
      <c r="I110">
        <v>0</v>
      </c>
      <c r="J110">
        <v>0</v>
      </c>
      <c r="K110">
        <v>0</v>
      </c>
      <c r="L110">
        <v>0</v>
      </c>
      <c r="M110">
        <v>0</v>
      </c>
      <c r="N110">
        <v>0</v>
      </c>
      <c r="O110">
        <v>0</v>
      </c>
      <c r="P110" s="5">
        <f t="shared" si="13"/>
        <v>0</v>
      </c>
      <c r="Q110">
        <f t="shared" si="14"/>
        <v>0</v>
      </c>
      <c r="R110">
        <f t="shared" si="15"/>
        <v>0</v>
      </c>
      <c r="S110">
        <f t="shared" si="16"/>
        <v>0</v>
      </c>
      <c r="T110">
        <f t="shared" si="17"/>
        <v>0</v>
      </c>
      <c r="U110">
        <f t="shared" si="18"/>
        <v>0</v>
      </c>
      <c r="V110">
        <f t="shared" si="19"/>
        <v>0</v>
      </c>
      <c r="W110">
        <f t="shared" si="20"/>
        <v>0</v>
      </c>
      <c r="X110">
        <f t="shared" si="21"/>
        <v>0</v>
      </c>
      <c r="Y110">
        <f t="shared" si="22"/>
        <v>0</v>
      </c>
      <c r="Z110">
        <f t="shared" si="23"/>
        <v>0</v>
      </c>
      <c r="AA110" t="str">
        <f>INDEX('Priority activities'!$D$5:$D$86,MATCH('Database for analysis'!C110,'Priority activities'!$C$5:$C$86,0))</f>
        <v>FP demand generation and behaviour change communication</v>
      </c>
    </row>
    <row r="111" spans="2:27" ht="16.5" thickTop="1" thickBot="1" x14ac:dyDescent="0.3">
      <c r="B111" t="s">
        <v>147</v>
      </c>
      <c r="C111" s="22" t="str">
        <f>'Costing inputs'!$C$95</f>
        <v>In-person health campaigns (D.1.4)</v>
      </c>
      <c r="D111" s="22" t="str">
        <f>'Costing inputs'!$U$95</f>
        <v>Central level</v>
      </c>
      <c r="E111" s="22">
        <f>'Regional splits'!$O$14</f>
        <v>0</v>
      </c>
      <c r="F111">
        <v>0</v>
      </c>
      <c r="G111">
        <v>0</v>
      </c>
      <c r="H111">
        <v>0</v>
      </c>
      <c r="I111">
        <v>0</v>
      </c>
      <c r="J111">
        <v>0</v>
      </c>
      <c r="K111">
        <v>0</v>
      </c>
      <c r="L111">
        <v>0</v>
      </c>
      <c r="M111">
        <v>0</v>
      </c>
      <c r="N111">
        <v>0</v>
      </c>
      <c r="O111">
        <v>0</v>
      </c>
      <c r="P111" s="5">
        <f t="shared" si="13"/>
        <v>0</v>
      </c>
      <c r="Q111">
        <f t="shared" si="14"/>
        <v>0</v>
      </c>
      <c r="R111">
        <f t="shared" si="15"/>
        <v>0</v>
      </c>
      <c r="S111">
        <f t="shared" si="16"/>
        <v>0</v>
      </c>
      <c r="T111">
        <f t="shared" si="17"/>
        <v>0</v>
      </c>
      <c r="U111">
        <f t="shared" si="18"/>
        <v>0</v>
      </c>
      <c r="V111">
        <f t="shared" si="19"/>
        <v>0</v>
      </c>
      <c r="W111">
        <f t="shared" si="20"/>
        <v>0</v>
      </c>
      <c r="X111">
        <f t="shared" si="21"/>
        <v>0</v>
      </c>
      <c r="Y111">
        <f t="shared" si="22"/>
        <v>0</v>
      </c>
      <c r="Z111">
        <f t="shared" si="23"/>
        <v>0</v>
      </c>
      <c r="AA111" t="str">
        <f>INDEX('Priority activities'!$D$5:$D$86,MATCH('Database for analysis'!C111,'Priority activities'!$C$5:$C$86,0))</f>
        <v>FP demand generation and behaviour change communication</v>
      </c>
    </row>
    <row r="112" spans="2:27" ht="16.5" thickTop="1" thickBot="1" x14ac:dyDescent="0.3">
      <c r="B112" t="s">
        <v>147</v>
      </c>
      <c r="C112" s="22" t="str">
        <f>'Costing inputs'!$C$95</f>
        <v>In-person health campaigns (D.1.4)</v>
      </c>
      <c r="D112" s="22" t="str">
        <f>'Costing inputs'!$U$95</f>
        <v>Central level</v>
      </c>
      <c r="E112" s="22">
        <f>'Regional splits'!$P$14</f>
        <v>0</v>
      </c>
      <c r="F112">
        <v>0</v>
      </c>
      <c r="G112">
        <v>0</v>
      </c>
      <c r="H112">
        <v>0</v>
      </c>
      <c r="I112">
        <v>0</v>
      </c>
      <c r="J112">
        <v>0</v>
      </c>
      <c r="K112">
        <v>0</v>
      </c>
      <c r="L112">
        <v>0</v>
      </c>
      <c r="M112">
        <v>0</v>
      </c>
      <c r="N112">
        <v>0</v>
      </c>
      <c r="O112">
        <v>0</v>
      </c>
      <c r="P112" s="5">
        <f t="shared" si="13"/>
        <v>0</v>
      </c>
      <c r="Q112">
        <f t="shared" si="14"/>
        <v>0</v>
      </c>
      <c r="R112">
        <f t="shared" si="15"/>
        <v>0</v>
      </c>
      <c r="S112">
        <f t="shared" si="16"/>
        <v>0</v>
      </c>
      <c r="T112">
        <f t="shared" si="17"/>
        <v>0</v>
      </c>
      <c r="U112">
        <f t="shared" si="18"/>
        <v>0</v>
      </c>
      <c r="V112">
        <f t="shared" si="19"/>
        <v>0</v>
      </c>
      <c r="W112">
        <f t="shared" si="20"/>
        <v>0</v>
      </c>
      <c r="X112">
        <f t="shared" si="21"/>
        <v>0</v>
      </c>
      <c r="Y112">
        <f t="shared" si="22"/>
        <v>0</v>
      </c>
      <c r="Z112">
        <f t="shared" si="23"/>
        <v>0</v>
      </c>
      <c r="AA112" t="str">
        <f>INDEX('Priority activities'!$D$5:$D$86,MATCH('Database for analysis'!C112,'Priority activities'!$C$5:$C$86,0))</f>
        <v>FP demand generation and behaviour change communication</v>
      </c>
    </row>
    <row r="113" spans="2:27" ht="16.5" thickTop="1" thickBot="1" x14ac:dyDescent="0.3">
      <c r="B113" t="s">
        <v>147</v>
      </c>
      <c r="C113" s="22" t="str">
        <f>'Costing inputs'!$C$95</f>
        <v>In-person health campaigns (D.1.4)</v>
      </c>
      <c r="D113" s="22" t="str">
        <f>'Costing inputs'!$U$95</f>
        <v>Central level</v>
      </c>
      <c r="E113" s="22">
        <f>'Regional splits'!$Q$14</f>
        <v>0</v>
      </c>
      <c r="F113">
        <v>0</v>
      </c>
      <c r="G113">
        <v>0</v>
      </c>
      <c r="H113">
        <v>0</v>
      </c>
      <c r="I113">
        <v>0</v>
      </c>
      <c r="J113">
        <v>0</v>
      </c>
      <c r="K113">
        <v>0</v>
      </c>
      <c r="L113">
        <v>0</v>
      </c>
      <c r="M113">
        <v>0</v>
      </c>
      <c r="N113">
        <v>0</v>
      </c>
      <c r="O113">
        <v>0</v>
      </c>
      <c r="P113" s="5">
        <f t="shared" si="13"/>
        <v>0</v>
      </c>
      <c r="Q113">
        <f t="shared" si="14"/>
        <v>0</v>
      </c>
      <c r="R113">
        <f t="shared" si="15"/>
        <v>0</v>
      </c>
      <c r="S113">
        <f t="shared" si="16"/>
        <v>0</v>
      </c>
      <c r="T113">
        <f t="shared" si="17"/>
        <v>0</v>
      </c>
      <c r="U113">
        <f t="shared" si="18"/>
        <v>0</v>
      </c>
      <c r="V113">
        <f t="shared" si="19"/>
        <v>0</v>
      </c>
      <c r="W113">
        <f t="shared" si="20"/>
        <v>0</v>
      </c>
      <c r="X113">
        <f t="shared" si="21"/>
        <v>0</v>
      </c>
      <c r="Y113">
        <f t="shared" si="22"/>
        <v>0</v>
      </c>
      <c r="Z113">
        <f t="shared" si="23"/>
        <v>0</v>
      </c>
      <c r="AA113" t="str">
        <f>INDEX('Priority activities'!$D$5:$D$86,MATCH('Database for analysis'!C113,'Priority activities'!$C$5:$C$86,0))</f>
        <v>FP demand generation and behaviour change communication</v>
      </c>
    </row>
    <row r="114" spans="2:27" ht="16.5" thickTop="1" thickBot="1" x14ac:dyDescent="0.3">
      <c r="B114" t="s">
        <v>147</v>
      </c>
      <c r="C114" s="22" t="str">
        <f>'Costing inputs'!$C$95</f>
        <v>In-person health campaigns (D.1.4)</v>
      </c>
      <c r="D114" s="22" t="str">
        <f>'Costing inputs'!$U$95</f>
        <v>Central level</v>
      </c>
      <c r="E114" s="22" t="str">
        <f>'Regional splits'!$R$14</f>
        <v>National-level</v>
      </c>
      <c r="F114">
        <v>2682600</v>
      </c>
      <c r="G114">
        <v>2682600</v>
      </c>
      <c r="H114">
        <v>2682600</v>
      </c>
      <c r="I114">
        <v>2682600</v>
      </c>
      <c r="J114">
        <v>2682600</v>
      </c>
      <c r="K114">
        <v>2682600</v>
      </c>
      <c r="L114">
        <v>2682600</v>
      </c>
      <c r="M114">
        <v>2682600</v>
      </c>
      <c r="N114">
        <v>0</v>
      </c>
      <c r="O114">
        <v>0</v>
      </c>
      <c r="P114" s="5">
        <f t="shared" si="13"/>
        <v>21460800</v>
      </c>
      <c r="Q114">
        <f t="shared" si="14"/>
        <v>2682600</v>
      </c>
      <c r="R114">
        <f t="shared" si="15"/>
        <v>2682600</v>
      </c>
      <c r="S114">
        <f t="shared" si="16"/>
        <v>2682600</v>
      </c>
      <c r="T114">
        <f t="shared" si="17"/>
        <v>2682600</v>
      </c>
      <c r="U114">
        <f t="shared" si="18"/>
        <v>2682600</v>
      </c>
      <c r="V114">
        <f t="shared" si="19"/>
        <v>2682600</v>
      </c>
      <c r="W114">
        <f t="shared" si="20"/>
        <v>2682600</v>
      </c>
      <c r="X114">
        <f t="shared" si="21"/>
        <v>2682600</v>
      </c>
      <c r="Y114">
        <f t="shared" si="22"/>
        <v>0</v>
      </c>
      <c r="Z114">
        <f t="shared" si="23"/>
        <v>0</v>
      </c>
      <c r="AA114" t="str">
        <f>INDEX('Priority activities'!$D$5:$D$86,MATCH('Database for analysis'!C114,'Priority activities'!$C$5:$C$86,0))</f>
        <v>FP demand generation and behaviour change communication</v>
      </c>
    </row>
    <row r="115" spans="2:27" ht="16.5" thickTop="1" thickBot="1" x14ac:dyDescent="0.3">
      <c r="B115" t="s">
        <v>147</v>
      </c>
      <c r="C115" s="22" t="str">
        <f>'Costing inputs'!$C$104</f>
        <v>Champions program - train change champions (D.2.1)</v>
      </c>
      <c r="D115" s="22" t="str">
        <f>'Costing inputs'!$U$104</f>
        <v>Central level</v>
      </c>
      <c r="E115" s="22" t="str">
        <f>'Regional splits'!$C$14</f>
        <v>Central</v>
      </c>
      <c r="F115">
        <f t="array" ref="F115:O130">'Costing inputs'!S104*'Costing inputs'!AP104:AY104*TRANSPOSE('Costing inputs'!W104:AL104)</f>
        <v>0</v>
      </c>
      <c r="G115">
        <v>0</v>
      </c>
      <c r="H115">
        <v>0</v>
      </c>
      <c r="I115">
        <v>0</v>
      </c>
      <c r="J115">
        <v>0</v>
      </c>
      <c r="K115">
        <v>0</v>
      </c>
      <c r="L115">
        <v>0</v>
      </c>
      <c r="M115">
        <v>0</v>
      </c>
      <c r="N115">
        <v>0</v>
      </c>
      <c r="O115">
        <v>0</v>
      </c>
      <c r="P115" s="5">
        <f t="shared" si="13"/>
        <v>0</v>
      </c>
      <c r="Q115">
        <f t="shared" si="14"/>
        <v>0</v>
      </c>
      <c r="R115">
        <f t="shared" si="15"/>
        <v>0</v>
      </c>
      <c r="S115">
        <f t="shared" si="16"/>
        <v>0</v>
      </c>
      <c r="T115">
        <f t="shared" si="17"/>
        <v>0</v>
      </c>
      <c r="U115">
        <f t="shared" si="18"/>
        <v>0</v>
      </c>
      <c r="V115">
        <f t="shared" si="19"/>
        <v>0</v>
      </c>
      <c r="W115">
        <f t="shared" si="20"/>
        <v>0</v>
      </c>
      <c r="X115">
        <f t="shared" si="21"/>
        <v>0</v>
      </c>
      <c r="Y115">
        <f t="shared" si="22"/>
        <v>0</v>
      </c>
      <c r="Z115">
        <f t="shared" si="23"/>
        <v>0</v>
      </c>
      <c r="AA115" t="str">
        <f>INDEX('Priority activities'!$D$5:$D$86,MATCH('Database for analysis'!C115,'Priority activities'!$C$5:$C$86,0))</f>
        <v>n/a</v>
      </c>
    </row>
    <row r="116" spans="2:27" ht="16.5" thickTop="1" thickBot="1" x14ac:dyDescent="0.3">
      <c r="B116" t="s">
        <v>147</v>
      </c>
      <c r="C116" s="22" t="str">
        <f>'Costing inputs'!$C$104</f>
        <v>Champions program - train change champions (D.2.1)</v>
      </c>
      <c r="D116" s="22" t="str">
        <f>'Costing inputs'!$U$104</f>
        <v>Central level</v>
      </c>
      <c r="E116" s="22" t="str">
        <f>'Regional splits'!$D$14</f>
        <v>Copperbelt</v>
      </c>
      <c r="F116">
        <v>0</v>
      </c>
      <c r="G116">
        <v>0</v>
      </c>
      <c r="H116">
        <v>0</v>
      </c>
      <c r="I116">
        <v>0</v>
      </c>
      <c r="J116">
        <v>0</v>
      </c>
      <c r="K116">
        <v>0</v>
      </c>
      <c r="L116">
        <v>0</v>
      </c>
      <c r="M116">
        <v>0</v>
      </c>
      <c r="N116">
        <v>0</v>
      </c>
      <c r="O116">
        <v>0</v>
      </c>
      <c r="P116" s="5">
        <f t="shared" si="13"/>
        <v>0</v>
      </c>
      <c r="Q116">
        <f t="shared" si="14"/>
        <v>0</v>
      </c>
      <c r="R116">
        <f t="shared" si="15"/>
        <v>0</v>
      </c>
      <c r="S116">
        <f t="shared" si="16"/>
        <v>0</v>
      </c>
      <c r="T116">
        <f t="shared" si="17"/>
        <v>0</v>
      </c>
      <c r="U116">
        <f t="shared" si="18"/>
        <v>0</v>
      </c>
      <c r="V116">
        <f t="shared" si="19"/>
        <v>0</v>
      </c>
      <c r="W116">
        <f t="shared" si="20"/>
        <v>0</v>
      </c>
      <c r="X116">
        <f t="shared" si="21"/>
        <v>0</v>
      </c>
      <c r="Y116">
        <f t="shared" si="22"/>
        <v>0</v>
      </c>
      <c r="Z116">
        <f t="shared" si="23"/>
        <v>0</v>
      </c>
      <c r="AA116" t="str">
        <f>INDEX('Priority activities'!$D$5:$D$86,MATCH('Database for analysis'!C116,'Priority activities'!$C$5:$C$86,0))</f>
        <v>n/a</v>
      </c>
    </row>
    <row r="117" spans="2:27" ht="16.5" thickTop="1" thickBot="1" x14ac:dyDescent="0.3">
      <c r="B117" t="s">
        <v>147</v>
      </c>
      <c r="C117" s="22" t="str">
        <f>'Costing inputs'!$C$104</f>
        <v>Champions program - train change champions (D.2.1)</v>
      </c>
      <c r="D117" s="22" t="str">
        <f>'Costing inputs'!$U$104</f>
        <v>Central level</v>
      </c>
      <c r="E117" s="22" t="str">
        <f>'Regional splits'!$E$14</f>
        <v>Eastern</v>
      </c>
      <c r="F117">
        <v>0</v>
      </c>
      <c r="G117">
        <v>0</v>
      </c>
      <c r="H117">
        <v>0</v>
      </c>
      <c r="I117">
        <v>0</v>
      </c>
      <c r="J117">
        <v>0</v>
      </c>
      <c r="K117">
        <v>0</v>
      </c>
      <c r="L117">
        <v>0</v>
      </c>
      <c r="M117">
        <v>0</v>
      </c>
      <c r="N117">
        <v>0</v>
      </c>
      <c r="O117">
        <v>0</v>
      </c>
      <c r="P117" s="5">
        <f t="shared" si="13"/>
        <v>0</v>
      </c>
      <c r="Q117">
        <f t="shared" si="14"/>
        <v>0</v>
      </c>
      <c r="R117">
        <f t="shared" si="15"/>
        <v>0</v>
      </c>
      <c r="S117">
        <f t="shared" si="16"/>
        <v>0</v>
      </c>
      <c r="T117">
        <f t="shared" si="17"/>
        <v>0</v>
      </c>
      <c r="U117">
        <f t="shared" si="18"/>
        <v>0</v>
      </c>
      <c r="V117">
        <f t="shared" si="19"/>
        <v>0</v>
      </c>
      <c r="W117">
        <f t="shared" si="20"/>
        <v>0</v>
      </c>
      <c r="X117">
        <f t="shared" si="21"/>
        <v>0</v>
      </c>
      <c r="Y117">
        <f t="shared" si="22"/>
        <v>0</v>
      </c>
      <c r="Z117">
        <f t="shared" si="23"/>
        <v>0</v>
      </c>
      <c r="AA117" t="str">
        <f>INDEX('Priority activities'!$D$5:$D$86,MATCH('Database for analysis'!C117,'Priority activities'!$C$5:$C$86,0))</f>
        <v>n/a</v>
      </c>
    </row>
    <row r="118" spans="2:27" ht="16.5" thickTop="1" thickBot="1" x14ac:dyDescent="0.3">
      <c r="B118" t="s">
        <v>147</v>
      </c>
      <c r="C118" s="22" t="str">
        <f>'Costing inputs'!$C$104</f>
        <v>Champions program - train change champions (D.2.1)</v>
      </c>
      <c r="D118" s="22" t="str">
        <f>'Costing inputs'!$U$104</f>
        <v>Central level</v>
      </c>
      <c r="E118" s="22" t="str">
        <f>'Regional splits'!$F$14</f>
        <v>Luapula</v>
      </c>
      <c r="F118">
        <v>0</v>
      </c>
      <c r="G118">
        <v>0</v>
      </c>
      <c r="H118">
        <v>0</v>
      </c>
      <c r="I118">
        <v>0</v>
      </c>
      <c r="J118">
        <v>0</v>
      </c>
      <c r="K118">
        <v>0</v>
      </c>
      <c r="L118">
        <v>0</v>
      </c>
      <c r="M118">
        <v>0</v>
      </c>
      <c r="N118">
        <v>0</v>
      </c>
      <c r="O118">
        <v>0</v>
      </c>
      <c r="P118" s="5">
        <f t="shared" si="13"/>
        <v>0</v>
      </c>
      <c r="Q118">
        <f t="shared" si="14"/>
        <v>0</v>
      </c>
      <c r="R118">
        <f t="shared" si="15"/>
        <v>0</v>
      </c>
      <c r="S118">
        <f t="shared" si="16"/>
        <v>0</v>
      </c>
      <c r="T118">
        <f t="shared" si="17"/>
        <v>0</v>
      </c>
      <c r="U118">
        <f t="shared" si="18"/>
        <v>0</v>
      </c>
      <c r="V118">
        <f t="shared" si="19"/>
        <v>0</v>
      </c>
      <c r="W118">
        <f t="shared" si="20"/>
        <v>0</v>
      </c>
      <c r="X118">
        <f t="shared" si="21"/>
        <v>0</v>
      </c>
      <c r="Y118">
        <f t="shared" si="22"/>
        <v>0</v>
      </c>
      <c r="Z118">
        <f t="shared" si="23"/>
        <v>0</v>
      </c>
      <c r="AA118" t="str">
        <f>INDEX('Priority activities'!$D$5:$D$86,MATCH('Database for analysis'!C118,'Priority activities'!$C$5:$C$86,0))</f>
        <v>n/a</v>
      </c>
    </row>
    <row r="119" spans="2:27" ht="16.5" thickTop="1" thickBot="1" x14ac:dyDescent="0.3">
      <c r="B119" t="s">
        <v>147</v>
      </c>
      <c r="C119" s="22" t="str">
        <f>'Costing inputs'!$C$104</f>
        <v>Champions program - train change champions (D.2.1)</v>
      </c>
      <c r="D119" s="22" t="str">
        <f>'Costing inputs'!$U$104</f>
        <v>Central level</v>
      </c>
      <c r="E119" s="22" t="str">
        <f>'Regional splits'!$G$14</f>
        <v>Lusaka</v>
      </c>
      <c r="F119">
        <v>0</v>
      </c>
      <c r="G119">
        <v>0</v>
      </c>
      <c r="H119">
        <v>0</v>
      </c>
      <c r="I119">
        <v>0</v>
      </c>
      <c r="J119">
        <v>0</v>
      </c>
      <c r="K119">
        <v>0</v>
      </c>
      <c r="L119">
        <v>0</v>
      </c>
      <c r="M119">
        <v>0</v>
      </c>
      <c r="N119">
        <v>0</v>
      </c>
      <c r="O119">
        <v>0</v>
      </c>
      <c r="P119" s="5">
        <f t="shared" si="13"/>
        <v>0</v>
      </c>
      <c r="Q119">
        <f t="shared" si="14"/>
        <v>0</v>
      </c>
      <c r="R119">
        <f t="shared" si="15"/>
        <v>0</v>
      </c>
      <c r="S119">
        <f t="shared" si="16"/>
        <v>0</v>
      </c>
      <c r="T119">
        <f t="shared" si="17"/>
        <v>0</v>
      </c>
      <c r="U119">
        <f t="shared" si="18"/>
        <v>0</v>
      </c>
      <c r="V119">
        <f t="shared" si="19"/>
        <v>0</v>
      </c>
      <c r="W119">
        <f t="shared" si="20"/>
        <v>0</v>
      </c>
      <c r="X119">
        <f t="shared" si="21"/>
        <v>0</v>
      </c>
      <c r="Y119">
        <f t="shared" si="22"/>
        <v>0</v>
      </c>
      <c r="Z119">
        <f t="shared" si="23"/>
        <v>0</v>
      </c>
      <c r="AA119" t="str">
        <f>INDEX('Priority activities'!$D$5:$D$86,MATCH('Database for analysis'!C119,'Priority activities'!$C$5:$C$86,0))</f>
        <v>n/a</v>
      </c>
    </row>
    <row r="120" spans="2:27" ht="16.5" thickTop="1" thickBot="1" x14ac:dyDescent="0.3">
      <c r="B120" t="s">
        <v>147</v>
      </c>
      <c r="C120" s="22" t="str">
        <f>'Costing inputs'!$C$104</f>
        <v>Champions program - train change champions (D.2.1)</v>
      </c>
      <c r="D120" s="22" t="str">
        <f>'Costing inputs'!$U$104</f>
        <v>Central level</v>
      </c>
      <c r="E120" s="22" t="str">
        <f>'Regional splits'!$H$14</f>
        <v>Muchinga</v>
      </c>
      <c r="F120">
        <v>0</v>
      </c>
      <c r="G120">
        <v>0</v>
      </c>
      <c r="H120">
        <v>0</v>
      </c>
      <c r="I120">
        <v>0</v>
      </c>
      <c r="J120">
        <v>0</v>
      </c>
      <c r="K120">
        <v>0</v>
      </c>
      <c r="L120">
        <v>0</v>
      </c>
      <c r="M120">
        <v>0</v>
      </c>
      <c r="N120">
        <v>0</v>
      </c>
      <c r="O120">
        <v>0</v>
      </c>
      <c r="P120" s="5">
        <f t="shared" si="13"/>
        <v>0</v>
      </c>
      <c r="Q120">
        <f t="shared" si="14"/>
        <v>0</v>
      </c>
      <c r="R120">
        <f t="shared" si="15"/>
        <v>0</v>
      </c>
      <c r="S120">
        <f t="shared" si="16"/>
        <v>0</v>
      </c>
      <c r="T120">
        <f t="shared" si="17"/>
        <v>0</v>
      </c>
      <c r="U120">
        <f t="shared" si="18"/>
        <v>0</v>
      </c>
      <c r="V120">
        <f t="shared" si="19"/>
        <v>0</v>
      </c>
      <c r="W120">
        <f t="shared" si="20"/>
        <v>0</v>
      </c>
      <c r="X120">
        <f t="shared" si="21"/>
        <v>0</v>
      </c>
      <c r="Y120">
        <f t="shared" si="22"/>
        <v>0</v>
      </c>
      <c r="Z120">
        <f t="shared" si="23"/>
        <v>0</v>
      </c>
      <c r="AA120" t="str">
        <f>INDEX('Priority activities'!$D$5:$D$86,MATCH('Database for analysis'!C120,'Priority activities'!$C$5:$C$86,0))</f>
        <v>n/a</v>
      </c>
    </row>
    <row r="121" spans="2:27" ht="16.5" thickTop="1" thickBot="1" x14ac:dyDescent="0.3">
      <c r="B121" t="s">
        <v>147</v>
      </c>
      <c r="C121" s="22" t="str">
        <f>'Costing inputs'!$C$104</f>
        <v>Champions program - train change champions (D.2.1)</v>
      </c>
      <c r="D121" s="22" t="str">
        <f>'Costing inputs'!$U$104</f>
        <v>Central level</v>
      </c>
      <c r="E121" s="22" t="str">
        <f>'Regional splits'!$I$14</f>
        <v>Northern</v>
      </c>
      <c r="F121">
        <v>0</v>
      </c>
      <c r="G121">
        <v>0</v>
      </c>
      <c r="H121">
        <v>0</v>
      </c>
      <c r="I121">
        <v>0</v>
      </c>
      <c r="J121">
        <v>0</v>
      </c>
      <c r="K121">
        <v>0</v>
      </c>
      <c r="L121">
        <v>0</v>
      </c>
      <c r="M121">
        <v>0</v>
      </c>
      <c r="N121">
        <v>0</v>
      </c>
      <c r="O121">
        <v>0</v>
      </c>
      <c r="P121" s="5">
        <f t="shared" si="13"/>
        <v>0</v>
      </c>
      <c r="Q121">
        <f t="shared" si="14"/>
        <v>0</v>
      </c>
      <c r="R121">
        <f t="shared" si="15"/>
        <v>0</v>
      </c>
      <c r="S121">
        <f t="shared" si="16"/>
        <v>0</v>
      </c>
      <c r="T121">
        <f t="shared" si="17"/>
        <v>0</v>
      </c>
      <c r="U121">
        <f t="shared" si="18"/>
        <v>0</v>
      </c>
      <c r="V121">
        <f t="shared" si="19"/>
        <v>0</v>
      </c>
      <c r="W121">
        <f t="shared" si="20"/>
        <v>0</v>
      </c>
      <c r="X121">
        <f t="shared" si="21"/>
        <v>0</v>
      </c>
      <c r="Y121">
        <f t="shared" si="22"/>
        <v>0</v>
      </c>
      <c r="Z121">
        <f t="shared" si="23"/>
        <v>0</v>
      </c>
      <c r="AA121" t="str">
        <f>INDEX('Priority activities'!$D$5:$D$86,MATCH('Database for analysis'!C121,'Priority activities'!$C$5:$C$86,0))</f>
        <v>n/a</v>
      </c>
    </row>
    <row r="122" spans="2:27" ht="16.5" thickTop="1" thickBot="1" x14ac:dyDescent="0.3">
      <c r="B122" t="s">
        <v>147</v>
      </c>
      <c r="C122" s="22" t="str">
        <f>'Costing inputs'!$C$104</f>
        <v>Champions program - train change champions (D.2.1)</v>
      </c>
      <c r="D122" s="22" t="str">
        <f>'Costing inputs'!$U$104</f>
        <v>Central level</v>
      </c>
      <c r="E122" s="22" t="str">
        <f>'Regional splits'!$J$14</f>
        <v>North Western</v>
      </c>
      <c r="F122">
        <v>0</v>
      </c>
      <c r="G122">
        <v>0</v>
      </c>
      <c r="H122">
        <v>0</v>
      </c>
      <c r="I122">
        <v>0</v>
      </c>
      <c r="J122">
        <v>0</v>
      </c>
      <c r="K122">
        <v>0</v>
      </c>
      <c r="L122">
        <v>0</v>
      </c>
      <c r="M122">
        <v>0</v>
      </c>
      <c r="N122">
        <v>0</v>
      </c>
      <c r="O122">
        <v>0</v>
      </c>
      <c r="P122" s="5">
        <f t="shared" si="13"/>
        <v>0</v>
      </c>
      <c r="Q122">
        <f t="shared" si="14"/>
        <v>0</v>
      </c>
      <c r="R122">
        <f t="shared" si="15"/>
        <v>0</v>
      </c>
      <c r="S122">
        <f t="shared" si="16"/>
        <v>0</v>
      </c>
      <c r="T122">
        <f t="shared" si="17"/>
        <v>0</v>
      </c>
      <c r="U122">
        <f t="shared" si="18"/>
        <v>0</v>
      </c>
      <c r="V122">
        <f t="shared" si="19"/>
        <v>0</v>
      </c>
      <c r="W122">
        <f t="shared" si="20"/>
        <v>0</v>
      </c>
      <c r="X122">
        <f t="shared" si="21"/>
        <v>0</v>
      </c>
      <c r="Y122">
        <f t="shared" si="22"/>
        <v>0</v>
      </c>
      <c r="Z122">
        <f t="shared" si="23"/>
        <v>0</v>
      </c>
      <c r="AA122" t="str">
        <f>INDEX('Priority activities'!$D$5:$D$86,MATCH('Database for analysis'!C122,'Priority activities'!$C$5:$C$86,0))</f>
        <v>n/a</v>
      </c>
    </row>
    <row r="123" spans="2:27" ht="16.5" thickTop="1" thickBot="1" x14ac:dyDescent="0.3">
      <c r="B123" t="s">
        <v>147</v>
      </c>
      <c r="C123" s="22" t="str">
        <f>'Costing inputs'!$C$104</f>
        <v>Champions program - train change champions (D.2.1)</v>
      </c>
      <c r="D123" s="22" t="str">
        <f>'Costing inputs'!$U$104</f>
        <v>Central level</v>
      </c>
      <c r="E123" s="22" t="str">
        <f>'Regional splits'!$K$14</f>
        <v>Southern</v>
      </c>
      <c r="F123">
        <v>0</v>
      </c>
      <c r="G123">
        <v>0</v>
      </c>
      <c r="H123">
        <v>0</v>
      </c>
      <c r="I123">
        <v>0</v>
      </c>
      <c r="J123">
        <v>0</v>
      </c>
      <c r="K123">
        <v>0</v>
      </c>
      <c r="L123">
        <v>0</v>
      </c>
      <c r="M123">
        <v>0</v>
      </c>
      <c r="N123">
        <v>0</v>
      </c>
      <c r="O123">
        <v>0</v>
      </c>
      <c r="P123" s="5">
        <f t="shared" si="13"/>
        <v>0</v>
      </c>
      <c r="Q123">
        <f t="shared" si="14"/>
        <v>0</v>
      </c>
      <c r="R123">
        <f t="shared" si="15"/>
        <v>0</v>
      </c>
      <c r="S123">
        <f t="shared" si="16"/>
        <v>0</v>
      </c>
      <c r="T123">
        <f t="shared" si="17"/>
        <v>0</v>
      </c>
      <c r="U123">
        <f t="shared" si="18"/>
        <v>0</v>
      </c>
      <c r="V123">
        <f t="shared" si="19"/>
        <v>0</v>
      </c>
      <c r="W123">
        <f t="shared" si="20"/>
        <v>0</v>
      </c>
      <c r="X123">
        <f t="shared" si="21"/>
        <v>0</v>
      </c>
      <c r="Y123">
        <f t="shared" si="22"/>
        <v>0</v>
      </c>
      <c r="Z123">
        <f t="shared" si="23"/>
        <v>0</v>
      </c>
      <c r="AA123" t="str">
        <f>INDEX('Priority activities'!$D$5:$D$86,MATCH('Database for analysis'!C123,'Priority activities'!$C$5:$C$86,0))</f>
        <v>n/a</v>
      </c>
    </row>
    <row r="124" spans="2:27" ht="16.5" thickTop="1" thickBot="1" x14ac:dyDescent="0.3">
      <c r="B124" t="s">
        <v>147</v>
      </c>
      <c r="C124" s="22" t="str">
        <f>'Costing inputs'!$C$104</f>
        <v>Champions program - train change champions (D.2.1)</v>
      </c>
      <c r="D124" s="22" t="str">
        <f>'Costing inputs'!$U$104</f>
        <v>Central level</v>
      </c>
      <c r="E124" s="22" t="str">
        <f>'Regional splits'!$L$14</f>
        <v>Western</v>
      </c>
      <c r="F124">
        <v>0</v>
      </c>
      <c r="G124">
        <v>0</v>
      </c>
      <c r="H124">
        <v>0</v>
      </c>
      <c r="I124">
        <v>0</v>
      </c>
      <c r="J124">
        <v>0</v>
      </c>
      <c r="K124">
        <v>0</v>
      </c>
      <c r="L124">
        <v>0</v>
      </c>
      <c r="M124">
        <v>0</v>
      </c>
      <c r="N124">
        <v>0</v>
      </c>
      <c r="O124">
        <v>0</v>
      </c>
      <c r="P124" s="5">
        <f t="shared" si="13"/>
        <v>0</v>
      </c>
      <c r="Q124">
        <f t="shared" si="14"/>
        <v>0</v>
      </c>
      <c r="R124">
        <f t="shared" si="15"/>
        <v>0</v>
      </c>
      <c r="S124">
        <f t="shared" si="16"/>
        <v>0</v>
      </c>
      <c r="T124">
        <f t="shared" si="17"/>
        <v>0</v>
      </c>
      <c r="U124">
        <f t="shared" si="18"/>
        <v>0</v>
      </c>
      <c r="V124">
        <f t="shared" si="19"/>
        <v>0</v>
      </c>
      <c r="W124">
        <f t="shared" si="20"/>
        <v>0</v>
      </c>
      <c r="X124">
        <f t="shared" si="21"/>
        <v>0</v>
      </c>
      <c r="Y124">
        <f t="shared" si="22"/>
        <v>0</v>
      </c>
      <c r="Z124">
        <f t="shared" si="23"/>
        <v>0</v>
      </c>
      <c r="AA124" t="str">
        <f>INDEX('Priority activities'!$D$5:$D$86,MATCH('Database for analysis'!C124,'Priority activities'!$C$5:$C$86,0))</f>
        <v>n/a</v>
      </c>
    </row>
    <row r="125" spans="2:27" ht="16.5" thickTop="1" thickBot="1" x14ac:dyDescent="0.3">
      <c r="B125" t="s">
        <v>147</v>
      </c>
      <c r="C125" s="22" t="str">
        <f>'Costing inputs'!$C$104</f>
        <v>Champions program - train change champions (D.2.1)</v>
      </c>
      <c r="D125" s="22" t="str">
        <f>'Costing inputs'!$U$104</f>
        <v>Central level</v>
      </c>
      <c r="E125" s="22">
        <f>'Regional splits'!$M$14</f>
        <v>0</v>
      </c>
      <c r="F125">
        <v>0</v>
      </c>
      <c r="G125">
        <v>0</v>
      </c>
      <c r="H125">
        <v>0</v>
      </c>
      <c r="I125">
        <v>0</v>
      </c>
      <c r="J125">
        <v>0</v>
      </c>
      <c r="K125">
        <v>0</v>
      </c>
      <c r="L125">
        <v>0</v>
      </c>
      <c r="M125">
        <v>0</v>
      </c>
      <c r="N125">
        <v>0</v>
      </c>
      <c r="O125">
        <v>0</v>
      </c>
      <c r="P125" s="5">
        <f t="shared" si="13"/>
        <v>0</v>
      </c>
      <c r="Q125">
        <f t="shared" si="14"/>
        <v>0</v>
      </c>
      <c r="R125">
        <f t="shared" si="15"/>
        <v>0</v>
      </c>
      <c r="S125">
        <f t="shared" si="16"/>
        <v>0</v>
      </c>
      <c r="T125">
        <f t="shared" si="17"/>
        <v>0</v>
      </c>
      <c r="U125">
        <f t="shared" si="18"/>
        <v>0</v>
      </c>
      <c r="V125">
        <f t="shared" si="19"/>
        <v>0</v>
      </c>
      <c r="W125">
        <f t="shared" si="20"/>
        <v>0</v>
      </c>
      <c r="X125">
        <f t="shared" si="21"/>
        <v>0</v>
      </c>
      <c r="Y125">
        <f t="shared" si="22"/>
        <v>0</v>
      </c>
      <c r="Z125">
        <f t="shared" si="23"/>
        <v>0</v>
      </c>
      <c r="AA125" t="str">
        <f>INDEX('Priority activities'!$D$5:$D$86,MATCH('Database for analysis'!C125,'Priority activities'!$C$5:$C$86,0))</f>
        <v>n/a</v>
      </c>
    </row>
    <row r="126" spans="2:27" ht="16.5" thickTop="1" thickBot="1" x14ac:dyDescent="0.3">
      <c r="B126" t="s">
        <v>147</v>
      </c>
      <c r="C126" s="22" t="str">
        <f>'Costing inputs'!$C$104</f>
        <v>Champions program - train change champions (D.2.1)</v>
      </c>
      <c r="D126" s="22" t="str">
        <f>'Costing inputs'!$U$104</f>
        <v>Central level</v>
      </c>
      <c r="E126" s="22">
        <f>'Regional splits'!$N$14</f>
        <v>0</v>
      </c>
      <c r="F126">
        <v>0</v>
      </c>
      <c r="G126">
        <v>0</v>
      </c>
      <c r="H126">
        <v>0</v>
      </c>
      <c r="I126">
        <v>0</v>
      </c>
      <c r="J126">
        <v>0</v>
      </c>
      <c r="K126">
        <v>0</v>
      </c>
      <c r="L126">
        <v>0</v>
      </c>
      <c r="M126">
        <v>0</v>
      </c>
      <c r="N126">
        <v>0</v>
      </c>
      <c r="O126">
        <v>0</v>
      </c>
      <c r="P126" s="5">
        <f t="shared" si="13"/>
        <v>0</v>
      </c>
      <c r="Q126">
        <f t="shared" si="14"/>
        <v>0</v>
      </c>
      <c r="R126">
        <f t="shared" si="15"/>
        <v>0</v>
      </c>
      <c r="S126">
        <f t="shared" si="16"/>
        <v>0</v>
      </c>
      <c r="T126">
        <f t="shared" si="17"/>
        <v>0</v>
      </c>
      <c r="U126">
        <f t="shared" si="18"/>
        <v>0</v>
      </c>
      <c r="V126">
        <f t="shared" si="19"/>
        <v>0</v>
      </c>
      <c r="W126">
        <f t="shared" si="20"/>
        <v>0</v>
      </c>
      <c r="X126">
        <f t="shared" si="21"/>
        <v>0</v>
      </c>
      <c r="Y126">
        <f t="shared" si="22"/>
        <v>0</v>
      </c>
      <c r="Z126">
        <f t="shared" si="23"/>
        <v>0</v>
      </c>
      <c r="AA126" t="str">
        <f>INDEX('Priority activities'!$D$5:$D$86,MATCH('Database for analysis'!C126,'Priority activities'!$C$5:$C$86,0))</f>
        <v>n/a</v>
      </c>
    </row>
    <row r="127" spans="2:27" ht="16.5" thickTop="1" thickBot="1" x14ac:dyDescent="0.3">
      <c r="B127" t="s">
        <v>147</v>
      </c>
      <c r="C127" s="22" t="str">
        <f>'Costing inputs'!$C$104</f>
        <v>Champions program - train change champions (D.2.1)</v>
      </c>
      <c r="D127" s="22" t="str">
        <f>'Costing inputs'!$U$104</f>
        <v>Central level</v>
      </c>
      <c r="E127" s="22">
        <f>'Regional splits'!$O$14</f>
        <v>0</v>
      </c>
      <c r="F127">
        <v>0</v>
      </c>
      <c r="G127">
        <v>0</v>
      </c>
      <c r="H127">
        <v>0</v>
      </c>
      <c r="I127">
        <v>0</v>
      </c>
      <c r="J127">
        <v>0</v>
      </c>
      <c r="K127">
        <v>0</v>
      </c>
      <c r="L127">
        <v>0</v>
      </c>
      <c r="M127">
        <v>0</v>
      </c>
      <c r="N127">
        <v>0</v>
      </c>
      <c r="O127">
        <v>0</v>
      </c>
      <c r="P127" s="5">
        <f t="shared" si="13"/>
        <v>0</v>
      </c>
      <c r="Q127">
        <f t="shared" si="14"/>
        <v>0</v>
      </c>
      <c r="R127">
        <f t="shared" si="15"/>
        <v>0</v>
      </c>
      <c r="S127">
        <f t="shared" si="16"/>
        <v>0</v>
      </c>
      <c r="T127">
        <f t="shared" si="17"/>
        <v>0</v>
      </c>
      <c r="U127">
        <f t="shared" si="18"/>
        <v>0</v>
      </c>
      <c r="V127">
        <f t="shared" si="19"/>
        <v>0</v>
      </c>
      <c r="W127">
        <f t="shared" si="20"/>
        <v>0</v>
      </c>
      <c r="X127">
        <f t="shared" si="21"/>
        <v>0</v>
      </c>
      <c r="Y127">
        <f t="shared" si="22"/>
        <v>0</v>
      </c>
      <c r="Z127">
        <f t="shared" si="23"/>
        <v>0</v>
      </c>
      <c r="AA127" t="str">
        <f>INDEX('Priority activities'!$D$5:$D$86,MATCH('Database for analysis'!C127,'Priority activities'!$C$5:$C$86,0))</f>
        <v>n/a</v>
      </c>
    </row>
    <row r="128" spans="2:27" ht="16.5" thickTop="1" thickBot="1" x14ac:dyDescent="0.3">
      <c r="B128" t="s">
        <v>147</v>
      </c>
      <c r="C128" s="22" t="str">
        <f>'Costing inputs'!$C$104</f>
        <v>Champions program - train change champions (D.2.1)</v>
      </c>
      <c r="D128" s="22" t="str">
        <f>'Costing inputs'!$U$104</f>
        <v>Central level</v>
      </c>
      <c r="E128" s="22">
        <f>'Regional splits'!$P$14</f>
        <v>0</v>
      </c>
      <c r="F128">
        <v>0</v>
      </c>
      <c r="G128">
        <v>0</v>
      </c>
      <c r="H128">
        <v>0</v>
      </c>
      <c r="I128">
        <v>0</v>
      </c>
      <c r="J128">
        <v>0</v>
      </c>
      <c r="K128">
        <v>0</v>
      </c>
      <c r="L128">
        <v>0</v>
      </c>
      <c r="M128">
        <v>0</v>
      </c>
      <c r="N128">
        <v>0</v>
      </c>
      <c r="O128">
        <v>0</v>
      </c>
      <c r="P128" s="5">
        <f t="shared" si="13"/>
        <v>0</v>
      </c>
      <c r="Q128">
        <f t="shared" si="14"/>
        <v>0</v>
      </c>
      <c r="R128">
        <f t="shared" si="15"/>
        <v>0</v>
      </c>
      <c r="S128">
        <f t="shared" si="16"/>
        <v>0</v>
      </c>
      <c r="T128">
        <f t="shared" si="17"/>
        <v>0</v>
      </c>
      <c r="U128">
        <f t="shared" si="18"/>
        <v>0</v>
      </c>
      <c r="V128">
        <f t="shared" si="19"/>
        <v>0</v>
      </c>
      <c r="W128">
        <f t="shared" si="20"/>
        <v>0</v>
      </c>
      <c r="X128">
        <f t="shared" si="21"/>
        <v>0</v>
      </c>
      <c r="Y128">
        <f t="shared" si="22"/>
        <v>0</v>
      </c>
      <c r="Z128">
        <f t="shared" si="23"/>
        <v>0</v>
      </c>
      <c r="AA128" t="str">
        <f>INDEX('Priority activities'!$D$5:$D$86,MATCH('Database for analysis'!C128,'Priority activities'!$C$5:$C$86,0))</f>
        <v>n/a</v>
      </c>
    </row>
    <row r="129" spans="2:27" ht="16.5" thickTop="1" thickBot="1" x14ac:dyDescent="0.3">
      <c r="B129" t="s">
        <v>147</v>
      </c>
      <c r="C129" s="22" t="str">
        <f>'Costing inputs'!$C$104</f>
        <v>Champions program - train change champions (D.2.1)</v>
      </c>
      <c r="D129" s="22" t="str">
        <f>'Costing inputs'!$U$104</f>
        <v>Central level</v>
      </c>
      <c r="E129" s="22">
        <f>'Regional splits'!$Q$14</f>
        <v>0</v>
      </c>
      <c r="F129">
        <v>0</v>
      </c>
      <c r="G129">
        <v>0</v>
      </c>
      <c r="H129">
        <v>0</v>
      </c>
      <c r="I129">
        <v>0</v>
      </c>
      <c r="J129">
        <v>0</v>
      </c>
      <c r="K129">
        <v>0</v>
      </c>
      <c r="L129">
        <v>0</v>
      </c>
      <c r="M129">
        <v>0</v>
      </c>
      <c r="N129">
        <v>0</v>
      </c>
      <c r="O129">
        <v>0</v>
      </c>
      <c r="P129" s="5">
        <f t="shared" si="13"/>
        <v>0</v>
      </c>
      <c r="Q129">
        <f t="shared" si="14"/>
        <v>0</v>
      </c>
      <c r="R129">
        <f t="shared" si="15"/>
        <v>0</v>
      </c>
      <c r="S129">
        <f t="shared" si="16"/>
        <v>0</v>
      </c>
      <c r="T129">
        <f t="shared" si="17"/>
        <v>0</v>
      </c>
      <c r="U129">
        <f t="shared" si="18"/>
        <v>0</v>
      </c>
      <c r="V129">
        <f t="shared" si="19"/>
        <v>0</v>
      </c>
      <c r="W129">
        <f t="shared" si="20"/>
        <v>0</v>
      </c>
      <c r="X129">
        <f t="shared" si="21"/>
        <v>0</v>
      </c>
      <c r="Y129">
        <f t="shared" si="22"/>
        <v>0</v>
      </c>
      <c r="Z129">
        <f t="shared" si="23"/>
        <v>0</v>
      </c>
      <c r="AA129" t="str">
        <f>INDEX('Priority activities'!$D$5:$D$86,MATCH('Database for analysis'!C129,'Priority activities'!$C$5:$C$86,0))</f>
        <v>n/a</v>
      </c>
    </row>
    <row r="130" spans="2:27" ht="16.5" thickTop="1" thickBot="1" x14ac:dyDescent="0.3">
      <c r="B130" t="s">
        <v>147</v>
      </c>
      <c r="C130" s="22" t="str">
        <f>'Costing inputs'!$C$104</f>
        <v>Champions program - train change champions (D.2.1)</v>
      </c>
      <c r="D130" s="22" t="str">
        <f>'Costing inputs'!$U$104</f>
        <v>Central level</v>
      </c>
      <c r="E130" s="22" t="str">
        <f>'Regional splits'!$R$14</f>
        <v>National-level</v>
      </c>
      <c r="F130">
        <v>124979.62400000001</v>
      </c>
      <c r="G130">
        <v>0</v>
      </c>
      <c r="H130">
        <v>0</v>
      </c>
      <c r="I130">
        <v>124979.62400000001</v>
      </c>
      <c r="J130">
        <v>0</v>
      </c>
      <c r="K130">
        <v>0</v>
      </c>
      <c r="L130">
        <v>124979.62400000001</v>
      </c>
      <c r="M130">
        <v>0</v>
      </c>
      <c r="N130">
        <v>0</v>
      </c>
      <c r="O130">
        <v>0</v>
      </c>
      <c r="P130" s="5">
        <f t="shared" si="13"/>
        <v>374938.87200000003</v>
      </c>
      <c r="Q130">
        <f t="shared" si="14"/>
        <v>124979.62400000001</v>
      </c>
      <c r="R130">
        <f t="shared" si="15"/>
        <v>0</v>
      </c>
      <c r="S130">
        <f t="shared" si="16"/>
        <v>0</v>
      </c>
      <c r="T130">
        <f t="shared" si="17"/>
        <v>124979.62400000001</v>
      </c>
      <c r="U130">
        <f t="shared" si="18"/>
        <v>0</v>
      </c>
      <c r="V130">
        <f t="shared" si="19"/>
        <v>0</v>
      </c>
      <c r="W130">
        <f t="shared" si="20"/>
        <v>124979.62400000001</v>
      </c>
      <c r="X130">
        <f t="shared" si="21"/>
        <v>0</v>
      </c>
      <c r="Y130">
        <f t="shared" si="22"/>
        <v>0</v>
      </c>
      <c r="Z130">
        <f t="shared" si="23"/>
        <v>0</v>
      </c>
      <c r="AA130" t="str">
        <f>INDEX('Priority activities'!$D$5:$D$86,MATCH('Database for analysis'!C130,'Priority activities'!$C$5:$C$86,0))</f>
        <v>n/a</v>
      </c>
    </row>
    <row r="131" spans="2:27" ht="16.5" thickTop="1" thickBot="1" x14ac:dyDescent="0.3">
      <c r="B131" t="s">
        <v>147</v>
      </c>
      <c r="C131" s="22" t="str">
        <f>'Costing inputs'!$C$112</f>
        <v>Champions program - ongoing (D.2.1)</v>
      </c>
      <c r="D131" s="22" t="str">
        <f>'Costing inputs'!$U$112</f>
        <v>Central level</v>
      </c>
      <c r="E131" s="22" t="str">
        <f>'Regional splits'!$C$14</f>
        <v>Central</v>
      </c>
      <c r="F131">
        <f t="array" ref="F131:O146">'Costing inputs'!S112*'Costing inputs'!AP112:AY112*TRANSPOSE('Costing inputs'!W112:AL112)</f>
        <v>0</v>
      </c>
      <c r="G131">
        <v>0</v>
      </c>
      <c r="H131">
        <v>0</v>
      </c>
      <c r="I131">
        <v>0</v>
      </c>
      <c r="J131">
        <v>0</v>
      </c>
      <c r="K131">
        <v>0</v>
      </c>
      <c r="L131">
        <v>0</v>
      </c>
      <c r="M131">
        <v>0</v>
      </c>
      <c r="N131">
        <v>0</v>
      </c>
      <c r="O131">
        <v>0</v>
      </c>
      <c r="P131" s="5">
        <f t="shared" si="13"/>
        <v>0</v>
      </c>
      <c r="Q131">
        <f t="shared" si="14"/>
        <v>0</v>
      </c>
      <c r="R131">
        <f t="shared" si="15"/>
        <v>0</v>
      </c>
      <c r="S131">
        <f t="shared" si="16"/>
        <v>0</v>
      </c>
      <c r="T131">
        <f t="shared" si="17"/>
        <v>0</v>
      </c>
      <c r="U131">
        <f t="shared" si="18"/>
        <v>0</v>
      </c>
      <c r="V131">
        <f t="shared" si="19"/>
        <v>0</v>
      </c>
      <c r="W131">
        <f t="shared" si="20"/>
        <v>0</v>
      </c>
      <c r="X131">
        <f t="shared" si="21"/>
        <v>0</v>
      </c>
      <c r="Y131">
        <f t="shared" si="22"/>
        <v>0</v>
      </c>
      <c r="Z131">
        <f t="shared" si="23"/>
        <v>0</v>
      </c>
      <c r="AA131" t="str">
        <f>INDEX('Priority activities'!$D$5:$D$86,MATCH('Database for analysis'!C131,'Priority activities'!$C$5:$C$86,0))</f>
        <v>n/a</v>
      </c>
    </row>
    <row r="132" spans="2:27" ht="16.5" thickTop="1" thickBot="1" x14ac:dyDescent="0.3">
      <c r="B132" t="s">
        <v>147</v>
      </c>
      <c r="C132" s="22" t="str">
        <f>'Costing inputs'!$C$112</f>
        <v>Champions program - ongoing (D.2.1)</v>
      </c>
      <c r="D132" s="22" t="str">
        <f>'Costing inputs'!$U$112</f>
        <v>Central level</v>
      </c>
      <c r="E132" s="22" t="str">
        <f>'Regional splits'!$D$14</f>
        <v>Copperbelt</v>
      </c>
      <c r="F132">
        <v>0</v>
      </c>
      <c r="G132">
        <v>0</v>
      </c>
      <c r="H132">
        <v>0</v>
      </c>
      <c r="I132">
        <v>0</v>
      </c>
      <c r="J132">
        <v>0</v>
      </c>
      <c r="K132">
        <v>0</v>
      </c>
      <c r="L132">
        <v>0</v>
      </c>
      <c r="M132">
        <v>0</v>
      </c>
      <c r="N132">
        <v>0</v>
      </c>
      <c r="O132">
        <v>0</v>
      </c>
      <c r="P132" s="5">
        <f t="shared" ref="P132:P195" si="24">SUMIF(F132:O132,"&lt;&gt;#N/A")</f>
        <v>0</v>
      </c>
      <c r="Q132">
        <f t="shared" ref="Q132:Q195" si="25">IF(ISNA(F132),0,F132)</f>
        <v>0</v>
      </c>
      <c r="R132">
        <f t="shared" ref="R132:R195" si="26">IF(ISNA(G132),0,G132)</f>
        <v>0</v>
      </c>
      <c r="S132">
        <f t="shared" ref="S132:S195" si="27">IF(ISNA(H132),0,H132)</f>
        <v>0</v>
      </c>
      <c r="T132">
        <f t="shared" ref="T132:T195" si="28">IF(ISNA(I132),0,I132)</f>
        <v>0</v>
      </c>
      <c r="U132">
        <f t="shared" ref="U132:U195" si="29">IF(ISNA(J132),0,J132)</f>
        <v>0</v>
      </c>
      <c r="V132">
        <f t="shared" ref="V132:V195" si="30">IF(ISNA(K132),0,K132)</f>
        <v>0</v>
      </c>
      <c r="W132">
        <f t="shared" ref="W132:W195" si="31">IF(ISNA(L132),0,L132)</f>
        <v>0</v>
      </c>
      <c r="X132">
        <f t="shared" ref="X132:X195" si="32">IF(ISNA(M132),0,M132)</f>
        <v>0</v>
      </c>
      <c r="Y132">
        <f t="shared" ref="Y132:Y195" si="33">IF(ISNA(N132),0,N132)</f>
        <v>0</v>
      </c>
      <c r="Z132">
        <f t="shared" ref="Z132:Z195" si="34">IF(ISNA(O132),0,O132)</f>
        <v>0</v>
      </c>
      <c r="AA132" t="str">
        <f>INDEX('Priority activities'!$D$5:$D$86,MATCH('Database for analysis'!C132,'Priority activities'!$C$5:$C$86,0))</f>
        <v>n/a</v>
      </c>
    </row>
    <row r="133" spans="2:27" ht="16.5" thickTop="1" thickBot="1" x14ac:dyDescent="0.3">
      <c r="B133" t="s">
        <v>147</v>
      </c>
      <c r="C133" s="22" t="str">
        <f>'Costing inputs'!$C$112</f>
        <v>Champions program - ongoing (D.2.1)</v>
      </c>
      <c r="D133" s="22" t="str">
        <f>'Costing inputs'!$U$112</f>
        <v>Central level</v>
      </c>
      <c r="E133" s="22" t="str">
        <f>'Regional splits'!$E$14</f>
        <v>Eastern</v>
      </c>
      <c r="F133">
        <v>0</v>
      </c>
      <c r="G133">
        <v>0</v>
      </c>
      <c r="H133">
        <v>0</v>
      </c>
      <c r="I133">
        <v>0</v>
      </c>
      <c r="J133">
        <v>0</v>
      </c>
      <c r="K133">
        <v>0</v>
      </c>
      <c r="L133">
        <v>0</v>
      </c>
      <c r="M133">
        <v>0</v>
      </c>
      <c r="N133">
        <v>0</v>
      </c>
      <c r="O133">
        <v>0</v>
      </c>
      <c r="P133" s="5">
        <f t="shared" si="24"/>
        <v>0</v>
      </c>
      <c r="Q133">
        <f t="shared" si="25"/>
        <v>0</v>
      </c>
      <c r="R133">
        <f t="shared" si="26"/>
        <v>0</v>
      </c>
      <c r="S133">
        <f t="shared" si="27"/>
        <v>0</v>
      </c>
      <c r="T133">
        <f t="shared" si="28"/>
        <v>0</v>
      </c>
      <c r="U133">
        <f t="shared" si="29"/>
        <v>0</v>
      </c>
      <c r="V133">
        <f t="shared" si="30"/>
        <v>0</v>
      </c>
      <c r="W133">
        <f t="shared" si="31"/>
        <v>0</v>
      </c>
      <c r="X133">
        <f t="shared" si="32"/>
        <v>0</v>
      </c>
      <c r="Y133">
        <f t="shared" si="33"/>
        <v>0</v>
      </c>
      <c r="Z133">
        <f t="shared" si="34"/>
        <v>0</v>
      </c>
      <c r="AA133" t="str">
        <f>INDEX('Priority activities'!$D$5:$D$86,MATCH('Database for analysis'!C133,'Priority activities'!$C$5:$C$86,0))</f>
        <v>n/a</v>
      </c>
    </row>
    <row r="134" spans="2:27" ht="16.5" thickTop="1" thickBot="1" x14ac:dyDescent="0.3">
      <c r="B134" t="s">
        <v>147</v>
      </c>
      <c r="C134" s="22" t="str">
        <f>'Costing inputs'!$C$112</f>
        <v>Champions program - ongoing (D.2.1)</v>
      </c>
      <c r="D134" s="22" t="str">
        <f>'Costing inputs'!$U$112</f>
        <v>Central level</v>
      </c>
      <c r="E134" s="22" t="str">
        <f>'Regional splits'!$F$14</f>
        <v>Luapula</v>
      </c>
      <c r="F134">
        <v>0</v>
      </c>
      <c r="G134">
        <v>0</v>
      </c>
      <c r="H134">
        <v>0</v>
      </c>
      <c r="I134">
        <v>0</v>
      </c>
      <c r="J134">
        <v>0</v>
      </c>
      <c r="K134">
        <v>0</v>
      </c>
      <c r="L134">
        <v>0</v>
      </c>
      <c r="M134">
        <v>0</v>
      </c>
      <c r="N134">
        <v>0</v>
      </c>
      <c r="O134">
        <v>0</v>
      </c>
      <c r="P134" s="5">
        <f t="shared" si="24"/>
        <v>0</v>
      </c>
      <c r="Q134">
        <f t="shared" si="25"/>
        <v>0</v>
      </c>
      <c r="R134">
        <f t="shared" si="26"/>
        <v>0</v>
      </c>
      <c r="S134">
        <f t="shared" si="27"/>
        <v>0</v>
      </c>
      <c r="T134">
        <f t="shared" si="28"/>
        <v>0</v>
      </c>
      <c r="U134">
        <f t="shared" si="29"/>
        <v>0</v>
      </c>
      <c r="V134">
        <f t="shared" si="30"/>
        <v>0</v>
      </c>
      <c r="W134">
        <f t="shared" si="31"/>
        <v>0</v>
      </c>
      <c r="X134">
        <f t="shared" si="32"/>
        <v>0</v>
      </c>
      <c r="Y134">
        <f t="shared" si="33"/>
        <v>0</v>
      </c>
      <c r="Z134">
        <f t="shared" si="34"/>
        <v>0</v>
      </c>
      <c r="AA134" t="str">
        <f>INDEX('Priority activities'!$D$5:$D$86,MATCH('Database for analysis'!C134,'Priority activities'!$C$5:$C$86,0))</f>
        <v>n/a</v>
      </c>
    </row>
    <row r="135" spans="2:27" ht="16.5" thickTop="1" thickBot="1" x14ac:dyDescent="0.3">
      <c r="B135" t="s">
        <v>147</v>
      </c>
      <c r="C135" s="22" t="str">
        <f>'Costing inputs'!$C$112</f>
        <v>Champions program - ongoing (D.2.1)</v>
      </c>
      <c r="D135" s="22" t="str">
        <f>'Costing inputs'!$U$112</f>
        <v>Central level</v>
      </c>
      <c r="E135" s="22" t="str">
        <f>'Regional splits'!$G$14</f>
        <v>Lusaka</v>
      </c>
      <c r="F135">
        <v>0</v>
      </c>
      <c r="G135">
        <v>0</v>
      </c>
      <c r="H135">
        <v>0</v>
      </c>
      <c r="I135">
        <v>0</v>
      </c>
      <c r="J135">
        <v>0</v>
      </c>
      <c r="K135">
        <v>0</v>
      </c>
      <c r="L135">
        <v>0</v>
      </c>
      <c r="M135">
        <v>0</v>
      </c>
      <c r="N135">
        <v>0</v>
      </c>
      <c r="O135">
        <v>0</v>
      </c>
      <c r="P135" s="5">
        <f t="shared" si="24"/>
        <v>0</v>
      </c>
      <c r="Q135">
        <f t="shared" si="25"/>
        <v>0</v>
      </c>
      <c r="R135">
        <f t="shared" si="26"/>
        <v>0</v>
      </c>
      <c r="S135">
        <f t="shared" si="27"/>
        <v>0</v>
      </c>
      <c r="T135">
        <f t="shared" si="28"/>
        <v>0</v>
      </c>
      <c r="U135">
        <f t="shared" si="29"/>
        <v>0</v>
      </c>
      <c r="V135">
        <f t="shared" si="30"/>
        <v>0</v>
      </c>
      <c r="W135">
        <f t="shared" si="31"/>
        <v>0</v>
      </c>
      <c r="X135">
        <f t="shared" si="32"/>
        <v>0</v>
      </c>
      <c r="Y135">
        <f t="shared" si="33"/>
        <v>0</v>
      </c>
      <c r="Z135">
        <f t="shared" si="34"/>
        <v>0</v>
      </c>
      <c r="AA135" t="str">
        <f>INDEX('Priority activities'!$D$5:$D$86,MATCH('Database for analysis'!C135,'Priority activities'!$C$5:$C$86,0))</f>
        <v>n/a</v>
      </c>
    </row>
    <row r="136" spans="2:27" ht="16.5" thickTop="1" thickBot="1" x14ac:dyDescent="0.3">
      <c r="B136" t="s">
        <v>147</v>
      </c>
      <c r="C136" s="22" t="str">
        <f>'Costing inputs'!$C$112</f>
        <v>Champions program - ongoing (D.2.1)</v>
      </c>
      <c r="D136" s="22" t="str">
        <f>'Costing inputs'!$U$112</f>
        <v>Central level</v>
      </c>
      <c r="E136" s="22" t="str">
        <f>'Regional splits'!$H$14</f>
        <v>Muchinga</v>
      </c>
      <c r="F136">
        <v>0</v>
      </c>
      <c r="G136">
        <v>0</v>
      </c>
      <c r="H136">
        <v>0</v>
      </c>
      <c r="I136">
        <v>0</v>
      </c>
      <c r="J136">
        <v>0</v>
      </c>
      <c r="K136">
        <v>0</v>
      </c>
      <c r="L136">
        <v>0</v>
      </c>
      <c r="M136">
        <v>0</v>
      </c>
      <c r="N136">
        <v>0</v>
      </c>
      <c r="O136">
        <v>0</v>
      </c>
      <c r="P136" s="5">
        <f t="shared" si="24"/>
        <v>0</v>
      </c>
      <c r="Q136">
        <f t="shared" si="25"/>
        <v>0</v>
      </c>
      <c r="R136">
        <f t="shared" si="26"/>
        <v>0</v>
      </c>
      <c r="S136">
        <f t="shared" si="27"/>
        <v>0</v>
      </c>
      <c r="T136">
        <f t="shared" si="28"/>
        <v>0</v>
      </c>
      <c r="U136">
        <f t="shared" si="29"/>
        <v>0</v>
      </c>
      <c r="V136">
        <f t="shared" si="30"/>
        <v>0</v>
      </c>
      <c r="W136">
        <f t="shared" si="31"/>
        <v>0</v>
      </c>
      <c r="X136">
        <f t="shared" si="32"/>
        <v>0</v>
      </c>
      <c r="Y136">
        <f t="shared" si="33"/>
        <v>0</v>
      </c>
      <c r="Z136">
        <f t="shared" si="34"/>
        <v>0</v>
      </c>
      <c r="AA136" t="str">
        <f>INDEX('Priority activities'!$D$5:$D$86,MATCH('Database for analysis'!C136,'Priority activities'!$C$5:$C$86,0))</f>
        <v>n/a</v>
      </c>
    </row>
    <row r="137" spans="2:27" ht="16.5" thickTop="1" thickBot="1" x14ac:dyDescent="0.3">
      <c r="B137" t="s">
        <v>147</v>
      </c>
      <c r="C137" s="22" t="str">
        <f>'Costing inputs'!$C$112</f>
        <v>Champions program - ongoing (D.2.1)</v>
      </c>
      <c r="D137" s="22" t="str">
        <f>'Costing inputs'!$U$112</f>
        <v>Central level</v>
      </c>
      <c r="E137" s="22" t="str">
        <f>'Regional splits'!$I$14</f>
        <v>Northern</v>
      </c>
      <c r="F137">
        <v>0</v>
      </c>
      <c r="G137">
        <v>0</v>
      </c>
      <c r="H137">
        <v>0</v>
      </c>
      <c r="I137">
        <v>0</v>
      </c>
      <c r="J137">
        <v>0</v>
      </c>
      <c r="K137">
        <v>0</v>
      </c>
      <c r="L137">
        <v>0</v>
      </c>
      <c r="M137">
        <v>0</v>
      </c>
      <c r="N137">
        <v>0</v>
      </c>
      <c r="O137">
        <v>0</v>
      </c>
      <c r="P137" s="5">
        <f t="shared" si="24"/>
        <v>0</v>
      </c>
      <c r="Q137">
        <f t="shared" si="25"/>
        <v>0</v>
      </c>
      <c r="R137">
        <f t="shared" si="26"/>
        <v>0</v>
      </c>
      <c r="S137">
        <f t="shared" si="27"/>
        <v>0</v>
      </c>
      <c r="T137">
        <f t="shared" si="28"/>
        <v>0</v>
      </c>
      <c r="U137">
        <f t="shared" si="29"/>
        <v>0</v>
      </c>
      <c r="V137">
        <f t="shared" si="30"/>
        <v>0</v>
      </c>
      <c r="W137">
        <f t="shared" si="31"/>
        <v>0</v>
      </c>
      <c r="X137">
        <f t="shared" si="32"/>
        <v>0</v>
      </c>
      <c r="Y137">
        <f t="shared" si="33"/>
        <v>0</v>
      </c>
      <c r="Z137">
        <f t="shared" si="34"/>
        <v>0</v>
      </c>
      <c r="AA137" t="str">
        <f>INDEX('Priority activities'!$D$5:$D$86,MATCH('Database for analysis'!C137,'Priority activities'!$C$5:$C$86,0))</f>
        <v>n/a</v>
      </c>
    </row>
    <row r="138" spans="2:27" ht="16.5" thickTop="1" thickBot="1" x14ac:dyDescent="0.3">
      <c r="B138" t="s">
        <v>147</v>
      </c>
      <c r="C138" s="22" t="str">
        <f>'Costing inputs'!$C$112</f>
        <v>Champions program - ongoing (D.2.1)</v>
      </c>
      <c r="D138" s="22" t="str">
        <f>'Costing inputs'!$U$112</f>
        <v>Central level</v>
      </c>
      <c r="E138" s="22" t="str">
        <f>'Regional splits'!$J$14</f>
        <v>North Western</v>
      </c>
      <c r="F138">
        <v>0</v>
      </c>
      <c r="G138">
        <v>0</v>
      </c>
      <c r="H138">
        <v>0</v>
      </c>
      <c r="I138">
        <v>0</v>
      </c>
      <c r="J138">
        <v>0</v>
      </c>
      <c r="K138">
        <v>0</v>
      </c>
      <c r="L138">
        <v>0</v>
      </c>
      <c r="M138">
        <v>0</v>
      </c>
      <c r="N138">
        <v>0</v>
      </c>
      <c r="O138">
        <v>0</v>
      </c>
      <c r="P138" s="5">
        <f t="shared" si="24"/>
        <v>0</v>
      </c>
      <c r="Q138">
        <f t="shared" si="25"/>
        <v>0</v>
      </c>
      <c r="R138">
        <f t="shared" si="26"/>
        <v>0</v>
      </c>
      <c r="S138">
        <f t="shared" si="27"/>
        <v>0</v>
      </c>
      <c r="T138">
        <f t="shared" si="28"/>
        <v>0</v>
      </c>
      <c r="U138">
        <f t="shared" si="29"/>
        <v>0</v>
      </c>
      <c r="V138">
        <f t="shared" si="30"/>
        <v>0</v>
      </c>
      <c r="W138">
        <f t="shared" si="31"/>
        <v>0</v>
      </c>
      <c r="X138">
        <f t="shared" si="32"/>
        <v>0</v>
      </c>
      <c r="Y138">
        <f t="shared" si="33"/>
        <v>0</v>
      </c>
      <c r="Z138">
        <f t="shared" si="34"/>
        <v>0</v>
      </c>
      <c r="AA138" t="str">
        <f>INDEX('Priority activities'!$D$5:$D$86,MATCH('Database for analysis'!C138,'Priority activities'!$C$5:$C$86,0))</f>
        <v>n/a</v>
      </c>
    </row>
    <row r="139" spans="2:27" ht="16.5" thickTop="1" thickBot="1" x14ac:dyDescent="0.3">
      <c r="B139" t="s">
        <v>147</v>
      </c>
      <c r="C139" s="22" t="str">
        <f>'Costing inputs'!$C$112</f>
        <v>Champions program - ongoing (D.2.1)</v>
      </c>
      <c r="D139" s="22" t="str">
        <f>'Costing inputs'!$U$112</f>
        <v>Central level</v>
      </c>
      <c r="E139" s="22" t="str">
        <f>'Regional splits'!$K$14</f>
        <v>Southern</v>
      </c>
      <c r="F139">
        <v>0</v>
      </c>
      <c r="G139">
        <v>0</v>
      </c>
      <c r="H139">
        <v>0</v>
      </c>
      <c r="I139">
        <v>0</v>
      </c>
      <c r="J139">
        <v>0</v>
      </c>
      <c r="K139">
        <v>0</v>
      </c>
      <c r="L139">
        <v>0</v>
      </c>
      <c r="M139">
        <v>0</v>
      </c>
      <c r="N139">
        <v>0</v>
      </c>
      <c r="O139">
        <v>0</v>
      </c>
      <c r="P139" s="5">
        <f t="shared" si="24"/>
        <v>0</v>
      </c>
      <c r="Q139">
        <f t="shared" si="25"/>
        <v>0</v>
      </c>
      <c r="R139">
        <f t="shared" si="26"/>
        <v>0</v>
      </c>
      <c r="S139">
        <f t="shared" si="27"/>
        <v>0</v>
      </c>
      <c r="T139">
        <f t="shared" si="28"/>
        <v>0</v>
      </c>
      <c r="U139">
        <f t="shared" si="29"/>
        <v>0</v>
      </c>
      <c r="V139">
        <f t="shared" si="30"/>
        <v>0</v>
      </c>
      <c r="W139">
        <f t="shared" si="31"/>
        <v>0</v>
      </c>
      <c r="X139">
        <f t="shared" si="32"/>
        <v>0</v>
      </c>
      <c r="Y139">
        <f t="shared" si="33"/>
        <v>0</v>
      </c>
      <c r="Z139">
        <f t="shared" si="34"/>
        <v>0</v>
      </c>
      <c r="AA139" t="str">
        <f>INDEX('Priority activities'!$D$5:$D$86,MATCH('Database for analysis'!C139,'Priority activities'!$C$5:$C$86,0))</f>
        <v>n/a</v>
      </c>
    </row>
    <row r="140" spans="2:27" ht="16.5" thickTop="1" thickBot="1" x14ac:dyDescent="0.3">
      <c r="B140" t="s">
        <v>147</v>
      </c>
      <c r="C140" s="22" t="str">
        <f>'Costing inputs'!$C$112</f>
        <v>Champions program - ongoing (D.2.1)</v>
      </c>
      <c r="D140" s="22" t="str">
        <f>'Costing inputs'!$U$112</f>
        <v>Central level</v>
      </c>
      <c r="E140" s="22" t="str">
        <f>'Regional splits'!$L$14</f>
        <v>Western</v>
      </c>
      <c r="F140">
        <v>0</v>
      </c>
      <c r="G140">
        <v>0</v>
      </c>
      <c r="H140">
        <v>0</v>
      </c>
      <c r="I140">
        <v>0</v>
      </c>
      <c r="J140">
        <v>0</v>
      </c>
      <c r="K140">
        <v>0</v>
      </c>
      <c r="L140">
        <v>0</v>
      </c>
      <c r="M140">
        <v>0</v>
      </c>
      <c r="N140">
        <v>0</v>
      </c>
      <c r="O140">
        <v>0</v>
      </c>
      <c r="P140" s="5">
        <f t="shared" si="24"/>
        <v>0</v>
      </c>
      <c r="Q140">
        <f t="shared" si="25"/>
        <v>0</v>
      </c>
      <c r="R140">
        <f t="shared" si="26"/>
        <v>0</v>
      </c>
      <c r="S140">
        <f t="shared" si="27"/>
        <v>0</v>
      </c>
      <c r="T140">
        <f t="shared" si="28"/>
        <v>0</v>
      </c>
      <c r="U140">
        <f t="shared" si="29"/>
        <v>0</v>
      </c>
      <c r="V140">
        <f t="shared" si="30"/>
        <v>0</v>
      </c>
      <c r="W140">
        <f t="shared" si="31"/>
        <v>0</v>
      </c>
      <c r="X140">
        <f t="shared" si="32"/>
        <v>0</v>
      </c>
      <c r="Y140">
        <f t="shared" si="33"/>
        <v>0</v>
      </c>
      <c r="Z140">
        <f t="shared" si="34"/>
        <v>0</v>
      </c>
      <c r="AA140" t="str">
        <f>INDEX('Priority activities'!$D$5:$D$86,MATCH('Database for analysis'!C140,'Priority activities'!$C$5:$C$86,0))</f>
        <v>n/a</v>
      </c>
    </row>
    <row r="141" spans="2:27" ht="16.5" thickTop="1" thickBot="1" x14ac:dyDescent="0.3">
      <c r="B141" t="s">
        <v>147</v>
      </c>
      <c r="C141" s="22" t="str">
        <f>'Costing inputs'!$C$112</f>
        <v>Champions program - ongoing (D.2.1)</v>
      </c>
      <c r="D141" s="22" t="str">
        <f>'Costing inputs'!$U$112</f>
        <v>Central level</v>
      </c>
      <c r="E141" s="22">
        <f>'Regional splits'!$M$14</f>
        <v>0</v>
      </c>
      <c r="F141">
        <v>0</v>
      </c>
      <c r="G141">
        <v>0</v>
      </c>
      <c r="H141">
        <v>0</v>
      </c>
      <c r="I141">
        <v>0</v>
      </c>
      <c r="J141">
        <v>0</v>
      </c>
      <c r="K141">
        <v>0</v>
      </c>
      <c r="L141">
        <v>0</v>
      </c>
      <c r="M141">
        <v>0</v>
      </c>
      <c r="N141">
        <v>0</v>
      </c>
      <c r="O141">
        <v>0</v>
      </c>
      <c r="P141" s="5">
        <f t="shared" si="24"/>
        <v>0</v>
      </c>
      <c r="Q141">
        <f t="shared" si="25"/>
        <v>0</v>
      </c>
      <c r="R141">
        <f t="shared" si="26"/>
        <v>0</v>
      </c>
      <c r="S141">
        <f t="shared" si="27"/>
        <v>0</v>
      </c>
      <c r="T141">
        <f t="shared" si="28"/>
        <v>0</v>
      </c>
      <c r="U141">
        <f t="shared" si="29"/>
        <v>0</v>
      </c>
      <c r="V141">
        <f t="shared" si="30"/>
        <v>0</v>
      </c>
      <c r="W141">
        <f t="shared" si="31"/>
        <v>0</v>
      </c>
      <c r="X141">
        <f t="shared" si="32"/>
        <v>0</v>
      </c>
      <c r="Y141">
        <f t="shared" si="33"/>
        <v>0</v>
      </c>
      <c r="Z141">
        <f t="shared" si="34"/>
        <v>0</v>
      </c>
      <c r="AA141" t="str">
        <f>INDEX('Priority activities'!$D$5:$D$86,MATCH('Database for analysis'!C141,'Priority activities'!$C$5:$C$86,0))</f>
        <v>n/a</v>
      </c>
    </row>
    <row r="142" spans="2:27" ht="16.5" thickTop="1" thickBot="1" x14ac:dyDescent="0.3">
      <c r="B142" t="s">
        <v>147</v>
      </c>
      <c r="C142" s="22" t="str">
        <f>'Costing inputs'!$C$112</f>
        <v>Champions program - ongoing (D.2.1)</v>
      </c>
      <c r="D142" s="22" t="str">
        <f>'Costing inputs'!$U$112</f>
        <v>Central level</v>
      </c>
      <c r="E142" s="22">
        <f>'Regional splits'!$N$14</f>
        <v>0</v>
      </c>
      <c r="F142">
        <v>0</v>
      </c>
      <c r="G142">
        <v>0</v>
      </c>
      <c r="H142">
        <v>0</v>
      </c>
      <c r="I142">
        <v>0</v>
      </c>
      <c r="J142">
        <v>0</v>
      </c>
      <c r="K142">
        <v>0</v>
      </c>
      <c r="L142">
        <v>0</v>
      </c>
      <c r="M142">
        <v>0</v>
      </c>
      <c r="N142">
        <v>0</v>
      </c>
      <c r="O142">
        <v>0</v>
      </c>
      <c r="P142" s="5">
        <f t="shared" si="24"/>
        <v>0</v>
      </c>
      <c r="Q142">
        <f t="shared" si="25"/>
        <v>0</v>
      </c>
      <c r="R142">
        <f t="shared" si="26"/>
        <v>0</v>
      </c>
      <c r="S142">
        <f t="shared" si="27"/>
        <v>0</v>
      </c>
      <c r="T142">
        <f t="shared" si="28"/>
        <v>0</v>
      </c>
      <c r="U142">
        <f t="shared" si="29"/>
        <v>0</v>
      </c>
      <c r="V142">
        <f t="shared" si="30"/>
        <v>0</v>
      </c>
      <c r="W142">
        <f t="shared" si="31"/>
        <v>0</v>
      </c>
      <c r="X142">
        <f t="shared" si="32"/>
        <v>0</v>
      </c>
      <c r="Y142">
        <f t="shared" si="33"/>
        <v>0</v>
      </c>
      <c r="Z142">
        <f t="shared" si="34"/>
        <v>0</v>
      </c>
      <c r="AA142" t="str">
        <f>INDEX('Priority activities'!$D$5:$D$86,MATCH('Database for analysis'!C142,'Priority activities'!$C$5:$C$86,0))</f>
        <v>n/a</v>
      </c>
    </row>
    <row r="143" spans="2:27" ht="16.5" thickTop="1" thickBot="1" x14ac:dyDescent="0.3">
      <c r="B143" t="s">
        <v>147</v>
      </c>
      <c r="C143" s="22" t="str">
        <f>'Costing inputs'!$C$112</f>
        <v>Champions program - ongoing (D.2.1)</v>
      </c>
      <c r="D143" s="22" t="str">
        <f>'Costing inputs'!$U$112</f>
        <v>Central level</v>
      </c>
      <c r="E143" s="22">
        <f>'Regional splits'!$O$14</f>
        <v>0</v>
      </c>
      <c r="F143">
        <v>0</v>
      </c>
      <c r="G143">
        <v>0</v>
      </c>
      <c r="H143">
        <v>0</v>
      </c>
      <c r="I143">
        <v>0</v>
      </c>
      <c r="J143">
        <v>0</v>
      </c>
      <c r="K143">
        <v>0</v>
      </c>
      <c r="L143">
        <v>0</v>
      </c>
      <c r="M143">
        <v>0</v>
      </c>
      <c r="N143">
        <v>0</v>
      </c>
      <c r="O143">
        <v>0</v>
      </c>
      <c r="P143" s="5">
        <f t="shared" si="24"/>
        <v>0</v>
      </c>
      <c r="Q143">
        <f t="shared" si="25"/>
        <v>0</v>
      </c>
      <c r="R143">
        <f t="shared" si="26"/>
        <v>0</v>
      </c>
      <c r="S143">
        <f t="shared" si="27"/>
        <v>0</v>
      </c>
      <c r="T143">
        <f t="shared" si="28"/>
        <v>0</v>
      </c>
      <c r="U143">
        <f t="shared" si="29"/>
        <v>0</v>
      </c>
      <c r="V143">
        <f t="shared" si="30"/>
        <v>0</v>
      </c>
      <c r="W143">
        <f t="shared" si="31"/>
        <v>0</v>
      </c>
      <c r="X143">
        <f t="shared" si="32"/>
        <v>0</v>
      </c>
      <c r="Y143">
        <f t="shared" si="33"/>
        <v>0</v>
      </c>
      <c r="Z143">
        <f t="shared" si="34"/>
        <v>0</v>
      </c>
      <c r="AA143" t="str">
        <f>INDEX('Priority activities'!$D$5:$D$86,MATCH('Database for analysis'!C143,'Priority activities'!$C$5:$C$86,0))</f>
        <v>n/a</v>
      </c>
    </row>
    <row r="144" spans="2:27" ht="16.5" thickTop="1" thickBot="1" x14ac:dyDescent="0.3">
      <c r="B144" t="s">
        <v>147</v>
      </c>
      <c r="C144" s="22" t="str">
        <f>'Costing inputs'!$C$112</f>
        <v>Champions program - ongoing (D.2.1)</v>
      </c>
      <c r="D144" s="22" t="str">
        <f>'Costing inputs'!$U$112</f>
        <v>Central level</v>
      </c>
      <c r="E144" s="22">
        <f>'Regional splits'!$P$14</f>
        <v>0</v>
      </c>
      <c r="F144">
        <v>0</v>
      </c>
      <c r="G144">
        <v>0</v>
      </c>
      <c r="H144">
        <v>0</v>
      </c>
      <c r="I144">
        <v>0</v>
      </c>
      <c r="J144">
        <v>0</v>
      </c>
      <c r="K144">
        <v>0</v>
      </c>
      <c r="L144">
        <v>0</v>
      </c>
      <c r="M144">
        <v>0</v>
      </c>
      <c r="N144">
        <v>0</v>
      </c>
      <c r="O144">
        <v>0</v>
      </c>
      <c r="P144" s="5">
        <f t="shared" si="24"/>
        <v>0</v>
      </c>
      <c r="Q144">
        <f t="shared" si="25"/>
        <v>0</v>
      </c>
      <c r="R144">
        <f t="shared" si="26"/>
        <v>0</v>
      </c>
      <c r="S144">
        <f t="shared" si="27"/>
        <v>0</v>
      </c>
      <c r="T144">
        <f t="shared" si="28"/>
        <v>0</v>
      </c>
      <c r="U144">
        <f t="shared" si="29"/>
        <v>0</v>
      </c>
      <c r="V144">
        <f t="shared" si="30"/>
        <v>0</v>
      </c>
      <c r="W144">
        <f t="shared" si="31"/>
        <v>0</v>
      </c>
      <c r="X144">
        <f t="shared" si="32"/>
        <v>0</v>
      </c>
      <c r="Y144">
        <f t="shared" si="33"/>
        <v>0</v>
      </c>
      <c r="Z144">
        <f t="shared" si="34"/>
        <v>0</v>
      </c>
      <c r="AA144" t="str">
        <f>INDEX('Priority activities'!$D$5:$D$86,MATCH('Database for analysis'!C144,'Priority activities'!$C$5:$C$86,0))</f>
        <v>n/a</v>
      </c>
    </row>
    <row r="145" spans="2:27" ht="16.5" thickTop="1" thickBot="1" x14ac:dyDescent="0.3">
      <c r="B145" t="s">
        <v>147</v>
      </c>
      <c r="C145" s="22" t="str">
        <f>'Costing inputs'!$C$112</f>
        <v>Champions program - ongoing (D.2.1)</v>
      </c>
      <c r="D145" s="22" t="str">
        <f>'Costing inputs'!$U$112</f>
        <v>Central level</v>
      </c>
      <c r="E145" s="22">
        <f>'Regional splits'!$Q$14</f>
        <v>0</v>
      </c>
      <c r="F145">
        <v>0</v>
      </c>
      <c r="G145">
        <v>0</v>
      </c>
      <c r="H145">
        <v>0</v>
      </c>
      <c r="I145">
        <v>0</v>
      </c>
      <c r="J145">
        <v>0</v>
      </c>
      <c r="K145">
        <v>0</v>
      </c>
      <c r="L145">
        <v>0</v>
      </c>
      <c r="M145">
        <v>0</v>
      </c>
      <c r="N145">
        <v>0</v>
      </c>
      <c r="O145">
        <v>0</v>
      </c>
      <c r="P145" s="5">
        <f t="shared" si="24"/>
        <v>0</v>
      </c>
      <c r="Q145">
        <f t="shared" si="25"/>
        <v>0</v>
      </c>
      <c r="R145">
        <f t="shared" si="26"/>
        <v>0</v>
      </c>
      <c r="S145">
        <f t="shared" si="27"/>
        <v>0</v>
      </c>
      <c r="T145">
        <f t="shared" si="28"/>
        <v>0</v>
      </c>
      <c r="U145">
        <f t="shared" si="29"/>
        <v>0</v>
      </c>
      <c r="V145">
        <f t="shared" si="30"/>
        <v>0</v>
      </c>
      <c r="W145">
        <f t="shared" si="31"/>
        <v>0</v>
      </c>
      <c r="X145">
        <f t="shared" si="32"/>
        <v>0</v>
      </c>
      <c r="Y145">
        <f t="shared" si="33"/>
        <v>0</v>
      </c>
      <c r="Z145">
        <f t="shared" si="34"/>
        <v>0</v>
      </c>
      <c r="AA145" t="str">
        <f>INDEX('Priority activities'!$D$5:$D$86,MATCH('Database for analysis'!C145,'Priority activities'!$C$5:$C$86,0))</f>
        <v>n/a</v>
      </c>
    </row>
    <row r="146" spans="2:27" ht="16.5" thickTop="1" thickBot="1" x14ac:dyDescent="0.3">
      <c r="B146" t="s">
        <v>147</v>
      </c>
      <c r="C146" s="22" t="str">
        <f>'Costing inputs'!$C$112</f>
        <v>Champions program - ongoing (D.2.1)</v>
      </c>
      <c r="D146" s="22" t="str">
        <f>'Costing inputs'!$U$112</f>
        <v>Central level</v>
      </c>
      <c r="E146" s="22" t="str">
        <f>'Regional splits'!$R$14</f>
        <v>National-level</v>
      </c>
      <c r="F146">
        <v>55000</v>
      </c>
      <c r="G146">
        <v>55000</v>
      </c>
      <c r="H146">
        <v>55000</v>
      </c>
      <c r="I146">
        <v>55000</v>
      </c>
      <c r="J146">
        <v>55000</v>
      </c>
      <c r="K146">
        <v>55000</v>
      </c>
      <c r="L146">
        <v>55000</v>
      </c>
      <c r="M146">
        <v>55000</v>
      </c>
      <c r="N146">
        <v>0</v>
      </c>
      <c r="O146">
        <v>0</v>
      </c>
      <c r="P146" s="5">
        <f t="shared" si="24"/>
        <v>440000</v>
      </c>
      <c r="Q146">
        <f t="shared" si="25"/>
        <v>55000</v>
      </c>
      <c r="R146">
        <f t="shared" si="26"/>
        <v>55000</v>
      </c>
      <c r="S146">
        <f t="shared" si="27"/>
        <v>55000</v>
      </c>
      <c r="T146">
        <f t="shared" si="28"/>
        <v>55000</v>
      </c>
      <c r="U146">
        <f t="shared" si="29"/>
        <v>55000</v>
      </c>
      <c r="V146">
        <f t="shared" si="30"/>
        <v>55000</v>
      </c>
      <c r="W146">
        <f t="shared" si="31"/>
        <v>55000</v>
      </c>
      <c r="X146">
        <f t="shared" si="32"/>
        <v>55000</v>
      </c>
      <c r="Y146">
        <f t="shared" si="33"/>
        <v>0</v>
      </c>
      <c r="Z146">
        <f t="shared" si="34"/>
        <v>0</v>
      </c>
      <c r="AA146" t="str">
        <f>INDEX('Priority activities'!$D$5:$D$86,MATCH('Database for analysis'!C146,'Priority activities'!$C$5:$C$86,0))</f>
        <v>n/a</v>
      </c>
    </row>
    <row r="147" spans="2:27" ht="16.5" thickTop="1" thickBot="1" x14ac:dyDescent="0.3">
      <c r="B147" t="s">
        <v>147</v>
      </c>
      <c r="C147" s="22" t="str">
        <f>'Costing inputs'!$C$115</f>
        <v>Sexual education in schools - curriculum review (n/a)</v>
      </c>
      <c r="D147" s="22" t="str">
        <f>'Costing inputs'!$U$115</f>
        <v>Central level</v>
      </c>
      <c r="E147" s="22" t="str">
        <f>'Regional splits'!$C$14</f>
        <v>Central</v>
      </c>
      <c r="F147">
        <f t="array" ref="F147:O162">'Costing inputs'!S115*'Costing inputs'!AP115:AY115*TRANSPOSE('Costing inputs'!W115:AL115)</f>
        <v>0</v>
      </c>
      <c r="G147">
        <v>0</v>
      </c>
      <c r="H147">
        <v>0</v>
      </c>
      <c r="I147">
        <v>0</v>
      </c>
      <c r="J147">
        <v>0</v>
      </c>
      <c r="K147">
        <v>0</v>
      </c>
      <c r="L147">
        <v>0</v>
      </c>
      <c r="M147">
        <v>0</v>
      </c>
      <c r="N147">
        <v>0</v>
      </c>
      <c r="O147">
        <v>0</v>
      </c>
      <c r="P147" s="5">
        <f t="shared" si="24"/>
        <v>0</v>
      </c>
      <c r="Q147">
        <f t="shared" si="25"/>
        <v>0</v>
      </c>
      <c r="R147">
        <f t="shared" si="26"/>
        <v>0</v>
      </c>
      <c r="S147">
        <f t="shared" si="27"/>
        <v>0</v>
      </c>
      <c r="T147">
        <f t="shared" si="28"/>
        <v>0</v>
      </c>
      <c r="U147">
        <f t="shared" si="29"/>
        <v>0</v>
      </c>
      <c r="V147">
        <f t="shared" si="30"/>
        <v>0</v>
      </c>
      <c r="W147">
        <f t="shared" si="31"/>
        <v>0</v>
      </c>
      <c r="X147">
        <f t="shared" si="32"/>
        <v>0</v>
      </c>
      <c r="Y147">
        <f t="shared" si="33"/>
        <v>0</v>
      </c>
      <c r="Z147">
        <f t="shared" si="34"/>
        <v>0</v>
      </c>
      <c r="AA147" t="str">
        <f>INDEX('Priority activities'!$D$5:$D$86,MATCH('Database for analysis'!C147,'Priority activities'!$C$5:$C$86,0))</f>
        <v>n/a</v>
      </c>
    </row>
    <row r="148" spans="2:27" ht="16.5" thickTop="1" thickBot="1" x14ac:dyDescent="0.3">
      <c r="B148" t="s">
        <v>147</v>
      </c>
      <c r="C148" s="22" t="str">
        <f>'Costing inputs'!$C$115</f>
        <v>Sexual education in schools - curriculum review (n/a)</v>
      </c>
      <c r="D148" s="22" t="str">
        <f>'Costing inputs'!$U$115</f>
        <v>Central level</v>
      </c>
      <c r="E148" s="22" t="str">
        <f>'Regional splits'!$D$14</f>
        <v>Copperbelt</v>
      </c>
      <c r="F148">
        <v>0</v>
      </c>
      <c r="G148">
        <v>0</v>
      </c>
      <c r="H148">
        <v>0</v>
      </c>
      <c r="I148">
        <v>0</v>
      </c>
      <c r="J148">
        <v>0</v>
      </c>
      <c r="K148">
        <v>0</v>
      </c>
      <c r="L148">
        <v>0</v>
      </c>
      <c r="M148">
        <v>0</v>
      </c>
      <c r="N148">
        <v>0</v>
      </c>
      <c r="O148">
        <v>0</v>
      </c>
      <c r="P148" s="5">
        <f t="shared" si="24"/>
        <v>0</v>
      </c>
      <c r="Q148">
        <f t="shared" si="25"/>
        <v>0</v>
      </c>
      <c r="R148">
        <f t="shared" si="26"/>
        <v>0</v>
      </c>
      <c r="S148">
        <f t="shared" si="27"/>
        <v>0</v>
      </c>
      <c r="T148">
        <f t="shared" si="28"/>
        <v>0</v>
      </c>
      <c r="U148">
        <f t="shared" si="29"/>
        <v>0</v>
      </c>
      <c r="V148">
        <f t="shared" si="30"/>
        <v>0</v>
      </c>
      <c r="W148">
        <f t="shared" si="31"/>
        <v>0</v>
      </c>
      <c r="X148">
        <f t="shared" si="32"/>
        <v>0</v>
      </c>
      <c r="Y148">
        <f t="shared" si="33"/>
        <v>0</v>
      </c>
      <c r="Z148">
        <f t="shared" si="34"/>
        <v>0</v>
      </c>
      <c r="AA148" t="str">
        <f>INDEX('Priority activities'!$D$5:$D$86,MATCH('Database for analysis'!C148,'Priority activities'!$C$5:$C$86,0))</f>
        <v>n/a</v>
      </c>
    </row>
    <row r="149" spans="2:27" ht="16.5" thickTop="1" thickBot="1" x14ac:dyDescent="0.3">
      <c r="B149" t="s">
        <v>147</v>
      </c>
      <c r="C149" s="22" t="str">
        <f>'Costing inputs'!$C$115</f>
        <v>Sexual education in schools - curriculum review (n/a)</v>
      </c>
      <c r="D149" s="22" t="str">
        <f>'Costing inputs'!$U$115</f>
        <v>Central level</v>
      </c>
      <c r="E149" s="22" t="str">
        <f>'Regional splits'!$E$14</f>
        <v>Eastern</v>
      </c>
      <c r="F149">
        <v>0</v>
      </c>
      <c r="G149">
        <v>0</v>
      </c>
      <c r="H149">
        <v>0</v>
      </c>
      <c r="I149">
        <v>0</v>
      </c>
      <c r="J149">
        <v>0</v>
      </c>
      <c r="K149">
        <v>0</v>
      </c>
      <c r="L149">
        <v>0</v>
      </c>
      <c r="M149">
        <v>0</v>
      </c>
      <c r="N149">
        <v>0</v>
      </c>
      <c r="O149">
        <v>0</v>
      </c>
      <c r="P149" s="5">
        <f t="shared" si="24"/>
        <v>0</v>
      </c>
      <c r="Q149">
        <f t="shared" si="25"/>
        <v>0</v>
      </c>
      <c r="R149">
        <f t="shared" si="26"/>
        <v>0</v>
      </c>
      <c r="S149">
        <f t="shared" si="27"/>
        <v>0</v>
      </c>
      <c r="T149">
        <f t="shared" si="28"/>
        <v>0</v>
      </c>
      <c r="U149">
        <f t="shared" si="29"/>
        <v>0</v>
      </c>
      <c r="V149">
        <f t="shared" si="30"/>
        <v>0</v>
      </c>
      <c r="W149">
        <f t="shared" si="31"/>
        <v>0</v>
      </c>
      <c r="X149">
        <f t="shared" si="32"/>
        <v>0</v>
      </c>
      <c r="Y149">
        <f t="shared" si="33"/>
        <v>0</v>
      </c>
      <c r="Z149">
        <f t="shared" si="34"/>
        <v>0</v>
      </c>
      <c r="AA149" t="str">
        <f>INDEX('Priority activities'!$D$5:$D$86,MATCH('Database for analysis'!C149,'Priority activities'!$C$5:$C$86,0))</f>
        <v>n/a</v>
      </c>
    </row>
    <row r="150" spans="2:27" ht="16.5" thickTop="1" thickBot="1" x14ac:dyDescent="0.3">
      <c r="B150" t="s">
        <v>147</v>
      </c>
      <c r="C150" s="22" t="str">
        <f>'Costing inputs'!$C$115</f>
        <v>Sexual education in schools - curriculum review (n/a)</v>
      </c>
      <c r="D150" s="22" t="str">
        <f>'Costing inputs'!$U$115</f>
        <v>Central level</v>
      </c>
      <c r="E150" s="22" t="str">
        <f>'Regional splits'!$F$14</f>
        <v>Luapula</v>
      </c>
      <c r="F150">
        <v>0</v>
      </c>
      <c r="G150">
        <v>0</v>
      </c>
      <c r="H150">
        <v>0</v>
      </c>
      <c r="I150">
        <v>0</v>
      </c>
      <c r="J150">
        <v>0</v>
      </c>
      <c r="K150">
        <v>0</v>
      </c>
      <c r="L150">
        <v>0</v>
      </c>
      <c r="M150">
        <v>0</v>
      </c>
      <c r="N150">
        <v>0</v>
      </c>
      <c r="O150">
        <v>0</v>
      </c>
      <c r="P150" s="5">
        <f t="shared" si="24"/>
        <v>0</v>
      </c>
      <c r="Q150">
        <f t="shared" si="25"/>
        <v>0</v>
      </c>
      <c r="R150">
        <f t="shared" si="26"/>
        <v>0</v>
      </c>
      <c r="S150">
        <f t="shared" si="27"/>
        <v>0</v>
      </c>
      <c r="T150">
        <f t="shared" si="28"/>
        <v>0</v>
      </c>
      <c r="U150">
        <f t="shared" si="29"/>
        <v>0</v>
      </c>
      <c r="V150">
        <f t="shared" si="30"/>
        <v>0</v>
      </c>
      <c r="W150">
        <f t="shared" si="31"/>
        <v>0</v>
      </c>
      <c r="X150">
        <f t="shared" si="32"/>
        <v>0</v>
      </c>
      <c r="Y150">
        <f t="shared" si="33"/>
        <v>0</v>
      </c>
      <c r="Z150">
        <f t="shared" si="34"/>
        <v>0</v>
      </c>
      <c r="AA150" t="str">
        <f>INDEX('Priority activities'!$D$5:$D$86,MATCH('Database for analysis'!C150,'Priority activities'!$C$5:$C$86,0))</f>
        <v>n/a</v>
      </c>
    </row>
    <row r="151" spans="2:27" ht="16.5" thickTop="1" thickBot="1" x14ac:dyDescent="0.3">
      <c r="B151" t="s">
        <v>147</v>
      </c>
      <c r="C151" s="22" t="str">
        <f>'Costing inputs'!$C$115</f>
        <v>Sexual education in schools - curriculum review (n/a)</v>
      </c>
      <c r="D151" s="22" t="str">
        <f>'Costing inputs'!$U$115</f>
        <v>Central level</v>
      </c>
      <c r="E151" s="22" t="str">
        <f>'Regional splits'!$G$14</f>
        <v>Lusaka</v>
      </c>
      <c r="F151">
        <v>0</v>
      </c>
      <c r="G151">
        <v>0</v>
      </c>
      <c r="H151">
        <v>0</v>
      </c>
      <c r="I151">
        <v>0</v>
      </c>
      <c r="J151">
        <v>0</v>
      </c>
      <c r="K151">
        <v>0</v>
      </c>
      <c r="L151">
        <v>0</v>
      </c>
      <c r="M151">
        <v>0</v>
      </c>
      <c r="N151">
        <v>0</v>
      </c>
      <c r="O151">
        <v>0</v>
      </c>
      <c r="P151" s="5">
        <f t="shared" si="24"/>
        <v>0</v>
      </c>
      <c r="Q151">
        <f t="shared" si="25"/>
        <v>0</v>
      </c>
      <c r="R151">
        <f t="shared" si="26"/>
        <v>0</v>
      </c>
      <c r="S151">
        <f t="shared" si="27"/>
        <v>0</v>
      </c>
      <c r="T151">
        <f t="shared" si="28"/>
        <v>0</v>
      </c>
      <c r="U151">
        <f t="shared" si="29"/>
        <v>0</v>
      </c>
      <c r="V151">
        <f t="shared" si="30"/>
        <v>0</v>
      </c>
      <c r="W151">
        <f t="shared" si="31"/>
        <v>0</v>
      </c>
      <c r="X151">
        <f t="shared" si="32"/>
        <v>0</v>
      </c>
      <c r="Y151">
        <f t="shared" si="33"/>
        <v>0</v>
      </c>
      <c r="Z151">
        <f t="shared" si="34"/>
        <v>0</v>
      </c>
      <c r="AA151" t="str">
        <f>INDEX('Priority activities'!$D$5:$D$86,MATCH('Database for analysis'!C151,'Priority activities'!$C$5:$C$86,0))</f>
        <v>n/a</v>
      </c>
    </row>
    <row r="152" spans="2:27" ht="16.5" thickTop="1" thickBot="1" x14ac:dyDescent="0.3">
      <c r="B152" t="s">
        <v>147</v>
      </c>
      <c r="C152" s="22" t="str">
        <f>'Costing inputs'!$C$115</f>
        <v>Sexual education in schools - curriculum review (n/a)</v>
      </c>
      <c r="D152" s="22" t="str">
        <f>'Costing inputs'!$U$115</f>
        <v>Central level</v>
      </c>
      <c r="E152" s="22" t="str">
        <f>'Regional splits'!$H$14</f>
        <v>Muchinga</v>
      </c>
      <c r="F152">
        <v>0</v>
      </c>
      <c r="G152">
        <v>0</v>
      </c>
      <c r="H152">
        <v>0</v>
      </c>
      <c r="I152">
        <v>0</v>
      </c>
      <c r="J152">
        <v>0</v>
      </c>
      <c r="K152">
        <v>0</v>
      </c>
      <c r="L152">
        <v>0</v>
      </c>
      <c r="M152">
        <v>0</v>
      </c>
      <c r="N152">
        <v>0</v>
      </c>
      <c r="O152">
        <v>0</v>
      </c>
      <c r="P152" s="5">
        <f t="shared" si="24"/>
        <v>0</v>
      </c>
      <c r="Q152">
        <f t="shared" si="25"/>
        <v>0</v>
      </c>
      <c r="R152">
        <f t="shared" si="26"/>
        <v>0</v>
      </c>
      <c r="S152">
        <f t="shared" si="27"/>
        <v>0</v>
      </c>
      <c r="T152">
        <f t="shared" si="28"/>
        <v>0</v>
      </c>
      <c r="U152">
        <f t="shared" si="29"/>
        <v>0</v>
      </c>
      <c r="V152">
        <f t="shared" si="30"/>
        <v>0</v>
      </c>
      <c r="W152">
        <f t="shared" si="31"/>
        <v>0</v>
      </c>
      <c r="X152">
        <f t="shared" si="32"/>
        <v>0</v>
      </c>
      <c r="Y152">
        <f t="shared" si="33"/>
        <v>0</v>
      </c>
      <c r="Z152">
        <f t="shared" si="34"/>
        <v>0</v>
      </c>
      <c r="AA152" t="str">
        <f>INDEX('Priority activities'!$D$5:$D$86,MATCH('Database for analysis'!C152,'Priority activities'!$C$5:$C$86,0))</f>
        <v>n/a</v>
      </c>
    </row>
    <row r="153" spans="2:27" ht="16.5" thickTop="1" thickBot="1" x14ac:dyDescent="0.3">
      <c r="B153" t="s">
        <v>147</v>
      </c>
      <c r="C153" s="22" t="str">
        <f>'Costing inputs'!$C$115</f>
        <v>Sexual education in schools - curriculum review (n/a)</v>
      </c>
      <c r="D153" s="22" t="str">
        <f>'Costing inputs'!$U$115</f>
        <v>Central level</v>
      </c>
      <c r="E153" s="22" t="str">
        <f>'Regional splits'!$I$14</f>
        <v>Northern</v>
      </c>
      <c r="F153">
        <v>0</v>
      </c>
      <c r="G153">
        <v>0</v>
      </c>
      <c r="H153">
        <v>0</v>
      </c>
      <c r="I153">
        <v>0</v>
      </c>
      <c r="J153">
        <v>0</v>
      </c>
      <c r="K153">
        <v>0</v>
      </c>
      <c r="L153">
        <v>0</v>
      </c>
      <c r="M153">
        <v>0</v>
      </c>
      <c r="N153">
        <v>0</v>
      </c>
      <c r="O153">
        <v>0</v>
      </c>
      <c r="P153" s="5">
        <f t="shared" si="24"/>
        <v>0</v>
      </c>
      <c r="Q153">
        <f t="shared" si="25"/>
        <v>0</v>
      </c>
      <c r="R153">
        <f t="shared" si="26"/>
        <v>0</v>
      </c>
      <c r="S153">
        <f t="shared" si="27"/>
        <v>0</v>
      </c>
      <c r="T153">
        <f t="shared" si="28"/>
        <v>0</v>
      </c>
      <c r="U153">
        <f t="shared" si="29"/>
        <v>0</v>
      </c>
      <c r="V153">
        <f t="shared" si="30"/>
        <v>0</v>
      </c>
      <c r="W153">
        <f t="shared" si="31"/>
        <v>0</v>
      </c>
      <c r="X153">
        <f t="shared" si="32"/>
        <v>0</v>
      </c>
      <c r="Y153">
        <f t="shared" si="33"/>
        <v>0</v>
      </c>
      <c r="Z153">
        <f t="shared" si="34"/>
        <v>0</v>
      </c>
      <c r="AA153" t="str">
        <f>INDEX('Priority activities'!$D$5:$D$86,MATCH('Database for analysis'!C153,'Priority activities'!$C$5:$C$86,0))</f>
        <v>n/a</v>
      </c>
    </row>
    <row r="154" spans="2:27" ht="16.5" thickTop="1" thickBot="1" x14ac:dyDescent="0.3">
      <c r="B154" t="s">
        <v>147</v>
      </c>
      <c r="C154" s="22" t="str">
        <f>'Costing inputs'!$C$115</f>
        <v>Sexual education in schools - curriculum review (n/a)</v>
      </c>
      <c r="D154" s="22" t="str">
        <f>'Costing inputs'!$U$115</f>
        <v>Central level</v>
      </c>
      <c r="E154" s="22" t="str">
        <f>'Regional splits'!$J$14</f>
        <v>North Western</v>
      </c>
      <c r="F154">
        <v>0</v>
      </c>
      <c r="G154">
        <v>0</v>
      </c>
      <c r="H154">
        <v>0</v>
      </c>
      <c r="I154">
        <v>0</v>
      </c>
      <c r="J154">
        <v>0</v>
      </c>
      <c r="K154">
        <v>0</v>
      </c>
      <c r="L154">
        <v>0</v>
      </c>
      <c r="M154">
        <v>0</v>
      </c>
      <c r="N154">
        <v>0</v>
      </c>
      <c r="O154">
        <v>0</v>
      </c>
      <c r="P154" s="5">
        <f t="shared" si="24"/>
        <v>0</v>
      </c>
      <c r="Q154">
        <f t="shared" si="25"/>
        <v>0</v>
      </c>
      <c r="R154">
        <f t="shared" si="26"/>
        <v>0</v>
      </c>
      <c r="S154">
        <f t="shared" si="27"/>
        <v>0</v>
      </c>
      <c r="T154">
        <f t="shared" si="28"/>
        <v>0</v>
      </c>
      <c r="U154">
        <f t="shared" si="29"/>
        <v>0</v>
      </c>
      <c r="V154">
        <f t="shared" si="30"/>
        <v>0</v>
      </c>
      <c r="W154">
        <f t="shared" si="31"/>
        <v>0</v>
      </c>
      <c r="X154">
        <f t="shared" si="32"/>
        <v>0</v>
      </c>
      <c r="Y154">
        <f t="shared" si="33"/>
        <v>0</v>
      </c>
      <c r="Z154">
        <f t="shared" si="34"/>
        <v>0</v>
      </c>
      <c r="AA154" t="str">
        <f>INDEX('Priority activities'!$D$5:$D$86,MATCH('Database for analysis'!C154,'Priority activities'!$C$5:$C$86,0))</f>
        <v>n/a</v>
      </c>
    </row>
    <row r="155" spans="2:27" ht="16.5" thickTop="1" thickBot="1" x14ac:dyDescent="0.3">
      <c r="B155" t="s">
        <v>147</v>
      </c>
      <c r="C155" s="22" t="str">
        <f>'Costing inputs'!$C$115</f>
        <v>Sexual education in schools - curriculum review (n/a)</v>
      </c>
      <c r="D155" s="22" t="str">
        <f>'Costing inputs'!$U$115</f>
        <v>Central level</v>
      </c>
      <c r="E155" s="22" t="str">
        <f>'Regional splits'!$K$14</f>
        <v>Southern</v>
      </c>
      <c r="F155">
        <v>0</v>
      </c>
      <c r="G155">
        <v>0</v>
      </c>
      <c r="H155">
        <v>0</v>
      </c>
      <c r="I155">
        <v>0</v>
      </c>
      <c r="J155">
        <v>0</v>
      </c>
      <c r="K155">
        <v>0</v>
      </c>
      <c r="L155">
        <v>0</v>
      </c>
      <c r="M155">
        <v>0</v>
      </c>
      <c r="N155">
        <v>0</v>
      </c>
      <c r="O155">
        <v>0</v>
      </c>
      <c r="P155" s="5">
        <f t="shared" si="24"/>
        <v>0</v>
      </c>
      <c r="Q155">
        <f t="shared" si="25"/>
        <v>0</v>
      </c>
      <c r="R155">
        <f t="shared" si="26"/>
        <v>0</v>
      </c>
      <c r="S155">
        <f t="shared" si="27"/>
        <v>0</v>
      </c>
      <c r="T155">
        <f t="shared" si="28"/>
        <v>0</v>
      </c>
      <c r="U155">
        <f t="shared" si="29"/>
        <v>0</v>
      </c>
      <c r="V155">
        <f t="shared" si="30"/>
        <v>0</v>
      </c>
      <c r="W155">
        <f t="shared" si="31"/>
        <v>0</v>
      </c>
      <c r="X155">
        <f t="shared" si="32"/>
        <v>0</v>
      </c>
      <c r="Y155">
        <f t="shared" si="33"/>
        <v>0</v>
      </c>
      <c r="Z155">
        <f t="shared" si="34"/>
        <v>0</v>
      </c>
      <c r="AA155" t="str">
        <f>INDEX('Priority activities'!$D$5:$D$86,MATCH('Database for analysis'!C155,'Priority activities'!$C$5:$C$86,0))</f>
        <v>n/a</v>
      </c>
    </row>
    <row r="156" spans="2:27" ht="16.5" thickTop="1" thickBot="1" x14ac:dyDescent="0.3">
      <c r="B156" t="s">
        <v>147</v>
      </c>
      <c r="C156" s="22" t="str">
        <f>'Costing inputs'!$C$115</f>
        <v>Sexual education in schools - curriculum review (n/a)</v>
      </c>
      <c r="D156" s="22" t="str">
        <f>'Costing inputs'!$U$115</f>
        <v>Central level</v>
      </c>
      <c r="E156" s="22" t="str">
        <f>'Regional splits'!$L$14</f>
        <v>Western</v>
      </c>
      <c r="F156">
        <v>0</v>
      </c>
      <c r="G156">
        <v>0</v>
      </c>
      <c r="H156">
        <v>0</v>
      </c>
      <c r="I156">
        <v>0</v>
      </c>
      <c r="J156">
        <v>0</v>
      </c>
      <c r="K156">
        <v>0</v>
      </c>
      <c r="L156">
        <v>0</v>
      </c>
      <c r="M156">
        <v>0</v>
      </c>
      <c r="N156">
        <v>0</v>
      </c>
      <c r="O156">
        <v>0</v>
      </c>
      <c r="P156" s="5">
        <f t="shared" si="24"/>
        <v>0</v>
      </c>
      <c r="Q156">
        <f t="shared" si="25"/>
        <v>0</v>
      </c>
      <c r="R156">
        <f t="shared" si="26"/>
        <v>0</v>
      </c>
      <c r="S156">
        <f t="shared" si="27"/>
        <v>0</v>
      </c>
      <c r="T156">
        <f t="shared" si="28"/>
        <v>0</v>
      </c>
      <c r="U156">
        <f t="shared" si="29"/>
        <v>0</v>
      </c>
      <c r="V156">
        <f t="shared" si="30"/>
        <v>0</v>
      </c>
      <c r="W156">
        <f t="shared" si="31"/>
        <v>0</v>
      </c>
      <c r="X156">
        <f t="shared" si="32"/>
        <v>0</v>
      </c>
      <c r="Y156">
        <f t="shared" si="33"/>
        <v>0</v>
      </c>
      <c r="Z156">
        <f t="shared" si="34"/>
        <v>0</v>
      </c>
      <c r="AA156" t="str">
        <f>INDEX('Priority activities'!$D$5:$D$86,MATCH('Database for analysis'!C156,'Priority activities'!$C$5:$C$86,0))</f>
        <v>n/a</v>
      </c>
    </row>
    <row r="157" spans="2:27" ht="16.5" thickTop="1" thickBot="1" x14ac:dyDescent="0.3">
      <c r="B157" t="s">
        <v>147</v>
      </c>
      <c r="C157" s="22" t="str">
        <f>'Costing inputs'!$C$115</f>
        <v>Sexual education in schools - curriculum review (n/a)</v>
      </c>
      <c r="D157" s="22" t="str">
        <f>'Costing inputs'!$U$115</f>
        <v>Central level</v>
      </c>
      <c r="E157" s="22">
        <f>'Regional splits'!$M$14</f>
        <v>0</v>
      </c>
      <c r="F157">
        <v>0</v>
      </c>
      <c r="G157">
        <v>0</v>
      </c>
      <c r="H157">
        <v>0</v>
      </c>
      <c r="I157">
        <v>0</v>
      </c>
      <c r="J157">
        <v>0</v>
      </c>
      <c r="K157">
        <v>0</v>
      </c>
      <c r="L157">
        <v>0</v>
      </c>
      <c r="M157">
        <v>0</v>
      </c>
      <c r="N157">
        <v>0</v>
      </c>
      <c r="O157">
        <v>0</v>
      </c>
      <c r="P157" s="5">
        <f t="shared" si="24"/>
        <v>0</v>
      </c>
      <c r="Q157">
        <f t="shared" si="25"/>
        <v>0</v>
      </c>
      <c r="R157">
        <f t="shared" si="26"/>
        <v>0</v>
      </c>
      <c r="S157">
        <f t="shared" si="27"/>
        <v>0</v>
      </c>
      <c r="T157">
        <f t="shared" si="28"/>
        <v>0</v>
      </c>
      <c r="U157">
        <f t="shared" si="29"/>
        <v>0</v>
      </c>
      <c r="V157">
        <f t="shared" si="30"/>
        <v>0</v>
      </c>
      <c r="W157">
        <f t="shared" si="31"/>
        <v>0</v>
      </c>
      <c r="X157">
        <f t="shared" si="32"/>
        <v>0</v>
      </c>
      <c r="Y157">
        <f t="shared" si="33"/>
        <v>0</v>
      </c>
      <c r="Z157">
        <f t="shared" si="34"/>
        <v>0</v>
      </c>
      <c r="AA157" t="str">
        <f>INDEX('Priority activities'!$D$5:$D$86,MATCH('Database for analysis'!C157,'Priority activities'!$C$5:$C$86,0))</f>
        <v>n/a</v>
      </c>
    </row>
    <row r="158" spans="2:27" ht="16.5" thickTop="1" thickBot="1" x14ac:dyDescent="0.3">
      <c r="B158" t="s">
        <v>147</v>
      </c>
      <c r="C158" s="22" t="str">
        <f>'Costing inputs'!$C$115</f>
        <v>Sexual education in schools - curriculum review (n/a)</v>
      </c>
      <c r="D158" s="22" t="str">
        <f>'Costing inputs'!$U$115</f>
        <v>Central level</v>
      </c>
      <c r="E158" s="22">
        <f>'Regional splits'!$N$14</f>
        <v>0</v>
      </c>
      <c r="F158">
        <v>0</v>
      </c>
      <c r="G158">
        <v>0</v>
      </c>
      <c r="H158">
        <v>0</v>
      </c>
      <c r="I158">
        <v>0</v>
      </c>
      <c r="J158">
        <v>0</v>
      </c>
      <c r="K158">
        <v>0</v>
      </c>
      <c r="L158">
        <v>0</v>
      </c>
      <c r="M158">
        <v>0</v>
      </c>
      <c r="N158">
        <v>0</v>
      </c>
      <c r="O158">
        <v>0</v>
      </c>
      <c r="P158" s="5">
        <f t="shared" si="24"/>
        <v>0</v>
      </c>
      <c r="Q158">
        <f t="shared" si="25"/>
        <v>0</v>
      </c>
      <c r="R158">
        <f t="shared" si="26"/>
        <v>0</v>
      </c>
      <c r="S158">
        <f t="shared" si="27"/>
        <v>0</v>
      </c>
      <c r="T158">
        <f t="shared" si="28"/>
        <v>0</v>
      </c>
      <c r="U158">
        <f t="shared" si="29"/>
        <v>0</v>
      </c>
      <c r="V158">
        <f t="shared" si="30"/>
        <v>0</v>
      </c>
      <c r="W158">
        <f t="shared" si="31"/>
        <v>0</v>
      </c>
      <c r="X158">
        <f t="shared" si="32"/>
        <v>0</v>
      </c>
      <c r="Y158">
        <f t="shared" si="33"/>
        <v>0</v>
      </c>
      <c r="Z158">
        <f t="shared" si="34"/>
        <v>0</v>
      </c>
      <c r="AA158" t="str">
        <f>INDEX('Priority activities'!$D$5:$D$86,MATCH('Database for analysis'!C158,'Priority activities'!$C$5:$C$86,0))</f>
        <v>n/a</v>
      </c>
    </row>
    <row r="159" spans="2:27" ht="16.5" thickTop="1" thickBot="1" x14ac:dyDescent="0.3">
      <c r="B159" t="s">
        <v>147</v>
      </c>
      <c r="C159" s="22" t="str">
        <f>'Costing inputs'!$C$115</f>
        <v>Sexual education in schools - curriculum review (n/a)</v>
      </c>
      <c r="D159" s="22" t="str">
        <f>'Costing inputs'!$U$115</f>
        <v>Central level</v>
      </c>
      <c r="E159" s="22">
        <f>'Regional splits'!$O$14</f>
        <v>0</v>
      </c>
      <c r="F159">
        <v>0</v>
      </c>
      <c r="G159">
        <v>0</v>
      </c>
      <c r="H159">
        <v>0</v>
      </c>
      <c r="I159">
        <v>0</v>
      </c>
      <c r="J159">
        <v>0</v>
      </c>
      <c r="K159">
        <v>0</v>
      </c>
      <c r="L159">
        <v>0</v>
      </c>
      <c r="M159">
        <v>0</v>
      </c>
      <c r="N159">
        <v>0</v>
      </c>
      <c r="O159">
        <v>0</v>
      </c>
      <c r="P159" s="5">
        <f t="shared" si="24"/>
        <v>0</v>
      </c>
      <c r="Q159">
        <f t="shared" si="25"/>
        <v>0</v>
      </c>
      <c r="R159">
        <f t="shared" si="26"/>
        <v>0</v>
      </c>
      <c r="S159">
        <f t="shared" si="27"/>
        <v>0</v>
      </c>
      <c r="T159">
        <f t="shared" si="28"/>
        <v>0</v>
      </c>
      <c r="U159">
        <f t="shared" si="29"/>
        <v>0</v>
      </c>
      <c r="V159">
        <f t="shared" si="30"/>
        <v>0</v>
      </c>
      <c r="W159">
        <f t="shared" si="31"/>
        <v>0</v>
      </c>
      <c r="X159">
        <f t="shared" si="32"/>
        <v>0</v>
      </c>
      <c r="Y159">
        <f t="shared" si="33"/>
        <v>0</v>
      </c>
      <c r="Z159">
        <f t="shared" si="34"/>
        <v>0</v>
      </c>
      <c r="AA159" t="str">
        <f>INDEX('Priority activities'!$D$5:$D$86,MATCH('Database for analysis'!C159,'Priority activities'!$C$5:$C$86,0))</f>
        <v>n/a</v>
      </c>
    </row>
    <row r="160" spans="2:27" ht="16.5" thickTop="1" thickBot="1" x14ac:dyDescent="0.3">
      <c r="B160" t="s">
        <v>147</v>
      </c>
      <c r="C160" s="22" t="str">
        <f>'Costing inputs'!$C$115</f>
        <v>Sexual education in schools - curriculum review (n/a)</v>
      </c>
      <c r="D160" s="22" t="str">
        <f>'Costing inputs'!$U$115</f>
        <v>Central level</v>
      </c>
      <c r="E160" s="22">
        <f>'Regional splits'!$P$14</f>
        <v>0</v>
      </c>
      <c r="F160">
        <v>0</v>
      </c>
      <c r="G160">
        <v>0</v>
      </c>
      <c r="H160">
        <v>0</v>
      </c>
      <c r="I160">
        <v>0</v>
      </c>
      <c r="J160">
        <v>0</v>
      </c>
      <c r="K160">
        <v>0</v>
      </c>
      <c r="L160">
        <v>0</v>
      </c>
      <c r="M160">
        <v>0</v>
      </c>
      <c r="N160">
        <v>0</v>
      </c>
      <c r="O160">
        <v>0</v>
      </c>
      <c r="P160" s="5">
        <f t="shared" si="24"/>
        <v>0</v>
      </c>
      <c r="Q160">
        <f t="shared" si="25"/>
        <v>0</v>
      </c>
      <c r="R160">
        <f t="shared" si="26"/>
        <v>0</v>
      </c>
      <c r="S160">
        <f t="shared" si="27"/>
        <v>0</v>
      </c>
      <c r="T160">
        <f t="shared" si="28"/>
        <v>0</v>
      </c>
      <c r="U160">
        <f t="shared" si="29"/>
        <v>0</v>
      </c>
      <c r="V160">
        <f t="shared" si="30"/>
        <v>0</v>
      </c>
      <c r="W160">
        <f t="shared" si="31"/>
        <v>0</v>
      </c>
      <c r="X160">
        <f t="shared" si="32"/>
        <v>0</v>
      </c>
      <c r="Y160">
        <f t="shared" si="33"/>
        <v>0</v>
      </c>
      <c r="Z160">
        <f t="shared" si="34"/>
        <v>0</v>
      </c>
      <c r="AA160" t="str">
        <f>INDEX('Priority activities'!$D$5:$D$86,MATCH('Database for analysis'!C160,'Priority activities'!$C$5:$C$86,0))</f>
        <v>n/a</v>
      </c>
    </row>
    <row r="161" spans="2:27" ht="16.5" thickTop="1" thickBot="1" x14ac:dyDescent="0.3">
      <c r="B161" t="s">
        <v>147</v>
      </c>
      <c r="C161" s="22" t="str">
        <f>'Costing inputs'!$C$115</f>
        <v>Sexual education in schools - curriculum review (n/a)</v>
      </c>
      <c r="D161" s="22" t="str">
        <f>'Costing inputs'!$U$115</f>
        <v>Central level</v>
      </c>
      <c r="E161" s="22">
        <f>'Regional splits'!$Q$14</f>
        <v>0</v>
      </c>
      <c r="F161">
        <v>0</v>
      </c>
      <c r="G161">
        <v>0</v>
      </c>
      <c r="H161">
        <v>0</v>
      </c>
      <c r="I161">
        <v>0</v>
      </c>
      <c r="J161">
        <v>0</v>
      </c>
      <c r="K161">
        <v>0</v>
      </c>
      <c r="L161">
        <v>0</v>
      </c>
      <c r="M161">
        <v>0</v>
      </c>
      <c r="N161">
        <v>0</v>
      </c>
      <c r="O161">
        <v>0</v>
      </c>
      <c r="P161" s="5">
        <f t="shared" si="24"/>
        <v>0</v>
      </c>
      <c r="Q161">
        <f t="shared" si="25"/>
        <v>0</v>
      </c>
      <c r="R161">
        <f t="shared" si="26"/>
        <v>0</v>
      </c>
      <c r="S161">
        <f t="shared" si="27"/>
        <v>0</v>
      </c>
      <c r="T161">
        <f t="shared" si="28"/>
        <v>0</v>
      </c>
      <c r="U161">
        <f t="shared" si="29"/>
        <v>0</v>
      </c>
      <c r="V161">
        <f t="shared" si="30"/>
        <v>0</v>
      </c>
      <c r="W161">
        <f t="shared" si="31"/>
        <v>0</v>
      </c>
      <c r="X161">
        <f t="shared" si="32"/>
        <v>0</v>
      </c>
      <c r="Y161">
        <f t="shared" si="33"/>
        <v>0</v>
      </c>
      <c r="Z161">
        <f t="shared" si="34"/>
        <v>0</v>
      </c>
      <c r="AA161" t="str">
        <f>INDEX('Priority activities'!$D$5:$D$86,MATCH('Database for analysis'!C161,'Priority activities'!$C$5:$C$86,0))</f>
        <v>n/a</v>
      </c>
    </row>
    <row r="162" spans="2:27" ht="16.5" thickTop="1" thickBot="1" x14ac:dyDescent="0.3">
      <c r="B162" t="s">
        <v>147</v>
      </c>
      <c r="C162" s="22" t="str">
        <f>'Costing inputs'!$C$115</f>
        <v>Sexual education in schools - curriculum review (n/a)</v>
      </c>
      <c r="D162" s="22" t="str">
        <f>'Costing inputs'!$U$115</f>
        <v>Central level</v>
      </c>
      <c r="E162" s="22" t="str">
        <f>'Regional splits'!$R$14</f>
        <v>National-level</v>
      </c>
      <c r="F162">
        <v>0</v>
      </c>
      <c r="G162">
        <v>0</v>
      </c>
      <c r="H162">
        <v>0</v>
      </c>
      <c r="I162">
        <v>0</v>
      </c>
      <c r="J162">
        <v>0</v>
      </c>
      <c r="K162">
        <v>0</v>
      </c>
      <c r="L162">
        <v>0</v>
      </c>
      <c r="M162">
        <v>0</v>
      </c>
      <c r="N162">
        <v>0</v>
      </c>
      <c r="O162">
        <v>0</v>
      </c>
      <c r="P162" s="5">
        <f t="shared" si="24"/>
        <v>0</v>
      </c>
      <c r="Q162">
        <f t="shared" si="25"/>
        <v>0</v>
      </c>
      <c r="R162">
        <f t="shared" si="26"/>
        <v>0</v>
      </c>
      <c r="S162">
        <f t="shared" si="27"/>
        <v>0</v>
      </c>
      <c r="T162">
        <f t="shared" si="28"/>
        <v>0</v>
      </c>
      <c r="U162">
        <f t="shared" si="29"/>
        <v>0</v>
      </c>
      <c r="V162">
        <f t="shared" si="30"/>
        <v>0</v>
      </c>
      <c r="W162">
        <f t="shared" si="31"/>
        <v>0</v>
      </c>
      <c r="X162">
        <f t="shared" si="32"/>
        <v>0</v>
      </c>
      <c r="Y162">
        <f t="shared" si="33"/>
        <v>0</v>
      </c>
      <c r="Z162">
        <f t="shared" si="34"/>
        <v>0</v>
      </c>
      <c r="AA162" t="str">
        <f>INDEX('Priority activities'!$D$5:$D$86,MATCH('Database for analysis'!C162,'Priority activities'!$C$5:$C$86,0))</f>
        <v>n/a</v>
      </c>
    </row>
    <row r="163" spans="2:27" ht="16.5" thickTop="1" thickBot="1" x14ac:dyDescent="0.3">
      <c r="B163" t="s">
        <v>147</v>
      </c>
      <c r="C163" s="22" t="str">
        <f>'Costing inputs'!$C$120</f>
        <v>Training teachers in new curriculum (n/a)</v>
      </c>
      <c r="D163" s="22" t="str">
        <f>'Costing inputs'!$U$120</f>
        <v>Central level</v>
      </c>
      <c r="E163" s="22" t="str">
        <f>'Regional splits'!$C$14</f>
        <v>Central</v>
      </c>
      <c r="F163">
        <f t="array" ref="F163:O178">'Costing inputs'!S120*'Costing inputs'!AP120:AY120*TRANSPOSE('Costing inputs'!W120:AL120)</f>
        <v>0</v>
      </c>
      <c r="G163">
        <v>0</v>
      </c>
      <c r="H163">
        <v>0</v>
      </c>
      <c r="I163">
        <v>0</v>
      </c>
      <c r="J163">
        <v>0</v>
      </c>
      <c r="K163">
        <v>0</v>
      </c>
      <c r="L163">
        <v>0</v>
      </c>
      <c r="M163">
        <v>0</v>
      </c>
      <c r="N163">
        <v>0</v>
      </c>
      <c r="O163">
        <v>0</v>
      </c>
      <c r="P163" s="5">
        <f t="shared" si="24"/>
        <v>0</v>
      </c>
      <c r="Q163">
        <f t="shared" si="25"/>
        <v>0</v>
      </c>
      <c r="R163">
        <f t="shared" si="26"/>
        <v>0</v>
      </c>
      <c r="S163">
        <f t="shared" si="27"/>
        <v>0</v>
      </c>
      <c r="T163">
        <f t="shared" si="28"/>
        <v>0</v>
      </c>
      <c r="U163">
        <f t="shared" si="29"/>
        <v>0</v>
      </c>
      <c r="V163">
        <f t="shared" si="30"/>
        <v>0</v>
      </c>
      <c r="W163">
        <f t="shared" si="31"/>
        <v>0</v>
      </c>
      <c r="X163">
        <f t="shared" si="32"/>
        <v>0</v>
      </c>
      <c r="Y163">
        <f t="shared" si="33"/>
        <v>0</v>
      </c>
      <c r="Z163">
        <f t="shared" si="34"/>
        <v>0</v>
      </c>
      <c r="AA163" t="str">
        <f>INDEX('Priority activities'!$D$5:$D$86,MATCH('Database for analysis'!C163,'Priority activities'!$C$5:$C$86,0))</f>
        <v>n/a</v>
      </c>
    </row>
    <row r="164" spans="2:27" ht="16.5" thickTop="1" thickBot="1" x14ac:dyDescent="0.3">
      <c r="B164" t="s">
        <v>147</v>
      </c>
      <c r="C164" s="22" t="str">
        <f>'Costing inputs'!$C$120</f>
        <v>Training teachers in new curriculum (n/a)</v>
      </c>
      <c r="D164" s="22" t="str">
        <f>'Costing inputs'!$U$120</f>
        <v>Central level</v>
      </c>
      <c r="E164" s="22" t="str">
        <f>'Regional splits'!$D$14</f>
        <v>Copperbelt</v>
      </c>
      <c r="F164">
        <v>0</v>
      </c>
      <c r="G164">
        <v>0</v>
      </c>
      <c r="H164">
        <v>0</v>
      </c>
      <c r="I164">
        <v>0</v>
      </c>
      <c r="J164">
        <v>0</v>
      </c>
      <c r="K164">
        <v>0</v>
      </c>
      <c r="L164">
        <v>0</v>
      </c>
      <c r="M164">
        <v>0</v>
      </c>
      <c r="N164">
        <v>0</v>
      </c>
      <c r="O164">
        <v>0</v>
      </c>
      <c r="P164" s="5">
        <f t="shared" si="24"/>
        <v>0</v>
      </c>
      <c r="Q164">
        <f t="shared" si="25"/>
        <v>0</v>
      </c>
      <c r="R164">
        <f t="shared" si="26"/>
        <v>0</v>
      </c>
      <c r="S164">
        <f t="shared" si="27"/>
        <v>0</v>
      </c>
      <c r="T164">
        <f t="shared" si="28"/>
        <v>0</v>
      </c>
      <c r="U164">
        <f t="shared" si="29"/>
        <v>0</v>
      </c>
      <c r="V164">
        <f t="shared" si="30"/>
        <v>0</v>
      </c>
      <c r="W164">
        <f t="shared" si="31"/>
        <v>0</v>
      </c>
      <c r="X164">
        <f t="shared" si="32"/>
        <v>0</v>
      </c>
      <c r="Y164">
        <f t="shared" si="33"/>
        <v>0</v>
      </c>
      <c r="Z164">
        <f t="shared" si="34"/>
        <v>0</v>
      </c>
      <c r="AA164" t="str">
        <f>INDEX('Priority activities'!$D$5:$D$86,MATCH('Database for analysis'!C164,'Priority activities'!$C$5:$C$86,0))</f>
        <v>n/a</v>
      </c>
    </row>
    <row r="165" spans="2:27" ht="16.5" thickTop="1" thickBot="1" x14ac:dyDescent="0.3">
      <c r="B165" t="s">
        <v>147</v>
      </c>
      <c r="C165" s="22" t="str">
        <f>'Costing inputs'!$C$120</f>
        <v>Training teachers in new curriculum (n/a)</v>
      </c>
      <c r="D165" s="22" t="str">
        <f>'Costing inputs'!$U$120</f>
        <v>Central level</v>
      </c>
      <c r="E165" s="22" t="str">
        <f>'Regional splits'!$E$14</f>
        <v>Eastern</v>
      </c>
      <c r="F165">
        <v>0</v>
      </c>
      <c r="G165">
        <v>0</v>
      </c>
      <c r="H165">
        <v>0</v>
      </c>
      <c r="I165">
        <v>0</v>
      </c>
      <c r="J165">
        <v>0</v>
      </c>
      <c r="K165">
        <v>0</v>
      </c>
      <c r="L165">
        <v>0</v>
      </c>
      <c r="M165">
        <v>0</v>
      </c>
      <c r="N165">
        <v>0</v>
      </c>
      <c r="O165">
        <v>0</v>
      </c>
      <c r="P165" s="5">
        <f t="shared" si="24"/>
        <v>0</v>
      </c>
      <c r="Q165">
        <f t="shared" si="25"/>
        <v>0</v>
      </c>
      <c r="R165">
        <f t="shared" si="26"/>
        <v>0</v>
      </c>
      <c r="S165">
        <f t="shared" si="27"/>
        <v>0</v>
      </c>
      <c r="T165">
        <f t="shared" si="28"/>
        <v>0</v>
      </c>
      <c r="U165">
        <f t="shared" si="29"/>
        <v>0</v>
      </c>
      <c r="V165">
        <f t="shared" si="30"/>
        <v>0</v>
      </c>
      <c r="W165">
        <f t="shared" si="31"/>
        <v>0</v>
      </c>
      <c r="X165">
        <f t="shared" si="32"/>
        <v>0</v>
      </c>
      <c r="Y165">
        <f t="shared" si="33"/>
        <v>0</v>
      </c>
      <c r="Z165">
        <f t="shared" si="34"/>
        <v>0</v>
      </c>
      <c r="AA165" t="str">
        <f>INDEX('Priority activities'!$D$5:$D$86,MATCH('Database for analysis'!C165,'Priority activities'!$C$5:$C$86,0))</f>
        <v>n/a</v>
      </c>
    </row>
    <row r="166" spans="2:27" ht="16.5" thickTop="1" thickBot="1" x14ac:dyDescent="0.3">
      <c r="B166" t="s">
        <v>147</v>
      </c>
      <c r="C166" s="22" t="str">
        <f>'Costing inputs'!$C$120</f>
        <v>Training teachers in new curriculum (n/a)</v>
      </c>
      <c r="D166" s="22" t="str">
        <f>'Costing inputs'!$U$120</f>
        <v>Central level</v>
      </c>
      <c r="E166" s="22" t="str">
        <f>'Regional splits'!$F$14</f>
        <v>Luapula</v>
      </c>
      <c r="F166">
        <v>0</v>
      </c>
      <c r="G166">
        <v>0</v>
      </c>
      <c r="H166">
        <v>0</v>
      </c>
      <c r="I166">
        <v>0</v>
      </c>
      <c r="J166">
        <v>0</v>
      </c>
      <c r="K166">
        <v>0</v>
      </c>
      <c r="L166">
        <v>0</v>
      </c>
      <c r="M166">
        <v>0</v>
      </c>
      <c r="N166">
        <v>0</v>
      </c>
      <c r="O166">
        <v>0</v>
      </c>
      <c r="P166" s="5">
        <f t="shared" si="24"/>
        <v>0</v>
      </c>
      <c r="Q166">
        <f t="shared" si="25"/>
        <v>0</v>
      </c>
      <c r="R166">
        <f t="shared" si="26"/>
        <v>0</v>
      </c>
      <c r="S166">
        <f t="shared" si="27"/>
        <v>0</v>
      </c>
      <c r="T166">
        <f t="shared" si="28"/>
        <v>0</v>
      </c>
      <c r="U166">
        <f t="shared" si="29"/>
        <v>0</v>
      </c>
      <c r="V166">
        <f t="shared" si="30"/>
        <v>0</v>
      </c>
      <c r="W166">
        <f t="shared" si="31"/>
        <v>0</v>
      </c>
      <c r="X166">
        <f t="shared" si="32"/>
        <v>0</v>
      </c>
      <c r="Y166">
        <f t="shared" si="33"/>
        <v>0</v>
      </c>
      <c r="Z166">
        <f t="shared" si="34"/>
        <v>0</v>
      </c>
      <c r="AA166" t="str">
        <f>INDEX('Priority activities'!$D$5:$D$86,MATCH('Database for analysis'!C166,'Priority activities'!$C$5:$C$86,0))</f>
        <v>n/a</v>
      </c>
    </row>
    <row r="167" spans="2:27" ht="16.5" thickTop="1" thickBot="1" x14ac:dyDescent="0.3">
      <c r="B167" t="s">
        <v>147</v>
      </c>
      <c r="C167" s="22" t="str">
        <f>'Costing inputs'!$C$120</f>
        <v>Training teachers in new curriculum (n/a)</v>
      </c>
      <c r="D167" s="22" t="str">
        <f>'Costing inputs'!$U$120</f>
        <v>Central level</v>
      </c>
      <c r="E167" s="22" t="str">
        <f>'Regional splits'!$G$14</f>
        <v>Lusaka</v>
      </c>
      <c r="F167">
        <v>0</v>
      </c>
      <c r="G167">
        <v>0</v>
      </c>
      <c r="H167">
        <v>0</v>
      </c>
      <c r="I167">
        <v>0</v>
      </c>
      <c r="J167">
        <v>0</v>
      </c>
      <c r="K167">
        <v>0</v>
      </c>
      <c r="L167">
        <v>0</v>
      </c>
      <c r="M167">
        <v>0</v>
      </c>
      <c r="N167">
        <v>0</v>
      </c>
      <c r="O167">
        <v>0</v>
      </c>
      <c r="P167" s="5">
        <f t="shared" si="24"/>
        <v>0</v>
      </c>
      <c r="Q167">
        <f t="shared" si="25"/>
        <v>0</v>
      </c>
      <c r="R167">
        <f t="shared" si="26"/>
        <v>0</v>
      </c>
      <c r="S167">
        <f t="shared" si="27"/>
        <v>0</v>
      </c>
      <c r="T167">
        <f t="shared" si="28"/>
        <v>0</v>
      </c>
      <c r="U167">
        <f t="shared" si="29"/>
        <v>0</v>
      </c>
      <c r="V167">
        <f t="shared" si="30"/>
        <v>0</v>
      </c>
      <c r="W167">
        <f t="shared" si="31"/>
        <v>0</v>
      </c>
      <c r="X167">
        <f t="shared" si="32"/>
        <v>0</v>
      </c>
      <c r="Y167">
        <f t="shared" si="33"/>
        <v>0</v>
      </c>
      <c r="Z167">
        <f t="shared" si="34"/>
        <v>0</v>
      </c>
      <c r="AA167" t="str">
        <f>INDEX('Priority activities'!$D$5:$D$86,MATCH('Database for analysis'!C167,'Priority activities'!$C$5:$C$86,0))</f>
        <v>n/a</v>
      </c>
    </row>
    <row r="168" spans="2:27" ht="16.5" thickTop="1" thickBot="1" x14ac:dyDescent="0.3">
      <c r="B168" t="s">
        <v>147</v>
      </c>
      <c r="C168" s="22" t="str">
        <f>'Costing inputs'!$C$120</f>
        <v>Training teachers in new curriculum (n/a)</v>
      </c>
      <c r="D168" s="22" t="str">
        <f>'Costing inputs'!$U$120</f>
        <v>Central level</v>
      </c>
      <c r="E168" s="22" t="str">
        <f>'Regional splits'!$H$14</f>
        <v>Muchinga</v>
      </c>
      <c r="F168">
        <v>0</v>
      </c>
      <c r="G168">
        <v>0</v>
      </c>
      <c r="H168">
        <v>0</v>
      </c>
      <c r="I168">
        <v>0</v>
      </c>
      <c r="J168">
        <v>0</v>
      </c>
      <c r="K168">
        <v>0</v>
      </c>
      <c r="L168">
        <v>0</v>
      </c>
      <c r="M168">
        <v>0</v>
      </c>
      <c r="N168">
        <v>0</v>
      </c>
      <c r="O168">
        <v>0</v>
      </c>
      <c r="P168" s="5">
        <f t="shared" si="24"/>
        <v>0</v>
      </c>
      <c r="Q168">
        <f t="shared" si="25"/>
        <v>0</v>
      </c>
      <c r="R168">
        <f t="shared" si="26"/>
        <v>0</v>
      </c>
      <c r="S168">
        <f t="shared" si="27"/>
        <v>0</v>
      </c>
      <c r="T168">
        <f t="shared" si="28"/>
        <v>0</v>
      </c>
      <c r="U168">
        <f t="shared" si="29"/>
        <v>0</v>
      </c>
      <c r="V168">
        <f t="shared" si="30"/>
        <v>0</v>
      </c>
      <c r="W168">
        <f t="shared" si="31"/>
        <v>0</v>
      </c>
      <c r="X168">
        <f t="shared" si="32"/>
        <v>0</v>
      </c>
      <c r="Y168">
        <f t="shared" si="33"/>
        <v>0</v>
      </c>
      <c r="Z168">
        <f t="shared" si="34"/>
        <v>0</v>
      </c>
      <c r="AA168" t="str">
        <f>INDEX('Priority activities'!$D$5:$D$86,MATCH('Database for analysis'!C168,'Priority activities'!$C$5:$C$86,0))</f>
        <v>n/a</v>
      </c>
    </row>
    <row r="169" spans="2:27" ht="16.5" thickTop="1" thickBot="1" x14ac:dyDescent="0.3">
      <c r="B169" t="s">
        <v>147</v>
      </c>
      <c r="C169" s="22" t="str">
        <f>'Costing inputs'!$C$120</f>
        <v>Training teachers in new curriculum (n/a)</v>
      </c>
      <c r="D169" s="22" t="str">
        <f>'Costing inputs'!$U$120</f>
        <v>Central level</v>
      </c>
      <c r="E169" s="22" t="str">
        <f>'Regional splits'!$I$14</f>
        <v>Northern</v>
      </c>
      <c r="F169">
        <v>0</v>
      </c>
      <c r="G169">
        <v>0</v>
      </c>
      <c r="H169">
        <v>0</v>
      </c>
      <c r="I169">
        <v>0</v>
      </c>
      <c r="J169">
        <v>0</v>
      </c>
      <c r="K169">
        <v>0</v>
      </c>
      <c r="L169">
        <v>0</v>
      </c>
      <c r="M169">
        <v>0</v>
      </c>
      <c r="N169">
        <v>0</v>
      </c>
      <c r="O169">
        <v>0</v>
      </c>
      <c r="P169" s="5">
        <f t="shared" si="24"/>
        <v>0</v>
      </c>
      <c r="Q169">
        <f t="shared" si="25"/>
        <v>0</v>
      </c>
      <c r="R169">
        <f t="shared" si="26"/>
        <v>0</v>
      </c>
      <c r="S169">
        <f t="shared" si="27"/>
        <v>0</v>
      </c>
      <c r="T169">
        <f t="shared" si="28"/>
        <v>0</v>
      </c>
      <c r="U169">
        <f t="shared" si="29"/>
        <v>0</v>
      </c>
      <c r="V169">
        <f t="shared" si="30"/>
        <v>0</v>
      </c>
      <c r="W169">
        <f t="shared" si="31"/>
        <v>0</v>
      </c>
      <c r="X169">
        <f t="shared" si="32"/>
        <v>0</v>
      </c>
      <c r="Y169">
        <f t="shared" si="33"/>
        <v>0</v>
      </c>
      <c r="Z169">
        <f t="shared" si="34"/>
        <v>0</v>
      </c>
      <c r="AA169" t="str">
        <f>INDEX('Priority activities'!$D$5:$D$86,MATCH('Database for analysis'!C169,'Priority activities'!$C$5:$C$86,0))</f>
        <v>n/a</v>
      </c>
    </row>
    <row r="170" spans="2:27" ht="16.5" thickTop="1" thickBot="1" x14ac:dyDescent="0.3">
      <c r="B170" t="s">
        <v>147</v>
      </c>
      <c r="C170" s="22" t="str">
        <f>'Costing inputs'!$C$120</f>
        <v>Training teachers in new curriculum (n/a)</v>
      </c>
      <c r="D170" s="22" t="str">
        <f>'Costing inputs'!$U$120</f>
        <v>Central level</v>
      </c>
      <c r="E170" s="22" t="str">
        <f>'Regional splits'!$J$14</f>
        <v>North Western</v>
      </c>
      <c r="F170">
        <v>0</v>
      </c>
      <c r="G170">
        <v>0</v>
      </c>
      <c r="H170">
        <v>0</v>
      </c>
      <c r="I170">
        <v>0</v>
      </c>
      <c r="J170">
        <v>0</v>
      </c>
      <c r="K170">
        <v>0</v>
      </c>
      <c r="L170">
        <v>0</v>
      </c>
      <c r="M170">
        <v>0</v>
      </c>
      <c r="N170">
        <v>0</v>
      </c>
      <c r="O170">
        <v>0</v>
      </c>
      <c r="P170" s="5">
        <f t="shared" si="24"/>
        <v>0</v>
      </c>
      <c r="Q170">
        <f t="shared" si="25"/>
        <v>0</v>
      </c>
      <c r="R170">
        <f t="shared" si="26"/>
        <v>0</v>
      </c>
      <c r="S170">
        <f t="shared" si="27"/>
        <v>0</v>
      </c>
      <c r="T170">
        <f t="shared" si="28"/>
        <v>0</v>
      </c>
      <c r="U170">
        <f t="shared" si="29"/>
        <v>0</v>
      </c>
      <c r="V170">
        <f t="shared" si="30"/>
        <v>0</v>
      </c>
      <c r="W170">
        <f t="shared" si="31"/>
        <v>0</v>
      </c>
      <c r="X170">
        <f t="shared" si="32"/>
        <v>0</v>
      </c>
      <c r="Y170">
        <f t="shared" si="33"/>
        <v>0</v>
      </c>
      <c r="Z170">
        <f t="shared" si="34"/>
        <v>0</v>
      </c>
      <c r="AA170" t="str">
        <f>INDEX('Priority activities'!$D$5:$D$86,MATCH('Database for analysis'!C170,'Priority activities'!$C$5:$C$86,0))</f>
        <v>n/a</v>
      </c>
    </row>
    <row r="171" spans="2:27" ht="16.5" thickTop="1" thickBot="1" x14ac:dyDescent="0.3">
      <c r="B171" t="s">
        <v>147</v>
      </c>
      <c r="C171" s="22" t="str">
        <f>'Costing inputs'!$C$120</f>
        <v>Training teachers in new curriculum (n/a)</v>
      </c>
      <c r="D171" s="22" t="str">
        <f>'Costing inputs'!$U$120</f>
        <v>Central level</v>
      </c>
      <c r="E171" s="22" t="str">
        <f>'Regional splits'!$K$14</f>
        <v>Southern</v>
      </c>
      <c r="F171">
        <v>0</v>
      </c>
      <c r="G171">
        <v>0</v>
      </c>
      <c r="H171">
        <v>0</v>
      </c>
      <c r="I171">
        <v>0</v>
      </c>
      <c r="J171">
        <v>0</v>
      </c>
      <c r="K171">
        <v>0</v>
      </c>
      <c r="L171">
        <v>0</v>
      </c>
      <c r="M171">
        <v>0</v>
      </c>
      <c r="N171">
        <v>0</v>
      </c>
      <c r="O171">
        <v>0</v>
      </c>
      <c r="P171" s="5">
        <f t="shared" si="24"/>
        <v>0</v>
      </c>
      <c r="Q171">
        <f t="shared" si="25"/>
        <v>0</v>
      </c>
      <c r="R171">
        <f t="shared" si="26"/>
        <v>0</v>
      </c>
      <c r="S171">
        <f t="shared" si="27"/>
        <v>0</v>
      </c>
      <c r="T171">
        <f t="shared" si="28"/>
        <v>0</v>
      </c>
      <c r="U171">
        <f t="shared" si="29"/>
        <v>0</v>
      </c>
      <c r="V171">
        <f t="shared" si="30"/>
        <v>0</v>
      </c>
      <c r="W171">
        <f t="shared" si="31"/>
        <v>0</v>
      </c>
      <c r="X171">
        <f t="shared" si="32"/>
        <v>0</v>
      </c>
      <c r="Y171">
        <f t="shared" si="33"/>
        <v>0</v>
      </c>
      <c r="Z171">
        <f t="shared" si="34"/>
        <v>0</v>
      </c>
      <c r="AA171" t="str">
        <f>INDEX('Priority activities'!$D$5:$D$86,MATCH('Database for analysis'!C171,'Priority activities'!$C$5:$C$86,0))</f>
        <v>n/a</v>
      </c>
    </row>
    <row r="172" spans="2:27" ht="16.5" thickTop="1" thickBot="1" x14ac:dyDescent="0.3">
      <c r="B172" t="s">
        <v>147</v>
      </c>
      <c r="C172" s="22" t="str">
        <f>'Costing inputs'!$C$120</f>
        <v>Training teachers in new curriculum (n/a)</v>
      </c>
      <c r="D172" s="22" t="str">
        <f>'Costing inputs'!$U$120</f>
        <v>Central level</v>
      </c>
      <c r="E172" s="22" t="str">
        <f>'Regional splits'!$L$14</f>
        <v>Western</v>
      </c>
      <c r="F172">
        <v>0</v>
      </c>
      <c r="G172">
        <v>0</v>
      </c>
      <c r="H172">
        <v>0</v>
      </c>
      <c r="I172">
        <v>0</v>
      </c>
      <c r="J172">
        <v>0</v>
      </c>
      <c r="K172">
        <v>0</v>
      </c>
      <c r="L172">
        <v>0</v>
      </c>
      <c r="M172">
        <v>0</v>
      </c>
      <c r="N172">
        <v>0</v>
      </c>
      <c r="O172">
        <v>0</v>
      </c>
      <c r="P172" s="5">
        <f t="shared" si="24"/>
        <v>0</v>
      </c>
      <c r="Q172">
        <f t="shared" si="25"/>
        <v>0</v>
      </c>
      <c r="R172">
        <f t="shared" si="26"/>
        <v>0</v>
      </c>
      <c r="S172">
        <f t="shared" si="27"/>
        <v>0</v>
      </c>
      <c r="T172">
        <f t="shared" si="28"/>
        <v>0</v>
      </c>
      <c r="U172">
        <f t="shared" si="29"/>
        <v>0</v>
      </c>
      <c r="V172">
        <f t="shared" si="30"/>
        <v>0</v>
      </c>
      <c r="W172">
        <f t="shared" si="31"/>
        <v>0</v>
      </c>
      <c r="X172">
        <f t="shared" si="32"/>
        <v>0</v>
      </c>
      <c r="Y172">
        <f t="shared" si="33"/>
        <v>0</v>
      </c>
      <c r="Z172">
        <f t="shared" si="34"/>
        <v>0</v>
      </c>
      <c r="AA172" t="str">
        <f>INDEX('Priority activities'!$D$5:$D$86,MATCH('Database for analysis'!C172,'Priority activities'!$C$5:$C$86,0))</f>
        <v>n/a</v>
      </c>
    </row>
    <row r="173" spans="2:27" ht="16.5" thickTop="1" thickBot="1" x14ac:dyDescent="0.3">
      <c r="B173" t="s">
        <v>147</v>
      </c>
      <c r="C173" s="22" t="str">
        <f>'Costing inputs'!$C$120</f>
        <v>Training teachers in new curriculum (n/a)</v>
      </c>
      <c r="D173" s="22" t="str">
        <f>'Costing inputs'!$U$120</f>
        <v>Central level</v>
      </c>
      <c r="E173" s="22">
        <f>'Regional splits'!$M$14</f>
        <v>0</v>
      </c>
      <c r="F173">
        <v>0</v>
      </c>
      <c r="G173">
        <v>0</v>
      </c>
      <c r="H173">
        <v>0</v>
      </c>
      <c r="I173">
        <v>0</v>
      </c>
      <c r="J173">
        <v>0</v>
      </c>
      <c r="K173">
        <v>0</v>
      </c>
      <c r="L173">
        <v>0</v>
      </c>
      <c r="M173">
        <v>0</v>
      </c>
      <c r="N173">
        <v>0</v>
      </c>
      <c r="O173">
        <v>0</v>
      </c>
      <c r="P173" s="5">
        <f t="shared" si="24"/>
        <v>0</v>
      </c>
      <c r="Q173">
        <f t="shared" si="25"/>
        <v>0</v>
      </c>
      <c r="R173">
        <f t="shared" si="26"/>
        <v>0</v>
      </c>
      <c r="S173">
        <f t="shared" si="27"/>
        <v>0</v>
      </c>
      <c r="T173">
        <f t="shared" si="28"/>
        <v>0</v>
      </c>
      <c r="U173">
        <f t="shared" si="29"/>
        <v>0</v>
      </c>
      <c r="V173">
        <f t="shared" si="30"/>
        <v>0</v>
      </c>
      <c r="W173">
        <f t="shared" si="31"/>
        <v>0</v>
      </c>
      <c r="X173">
        <f t="shared" si="32"/>
        <v>0</v>
      </c>
      <c r="Y173">
        <f t="shared" si="33"/>
        <v>0</v>
      </c>
      <c r="Z173">
        <f t="shared" si="34"/>
        <v>0</v>
      </c>
      <c r="AA173" t="str">
        <f>INDEX('Priority activities'!$D$5:$D$86,MATCH('Database for analysis'!C173,'Priority activities'!$C$5:$C$86,0))</f>
        <v>n/a</v>
      </c>
    </row>
    <row r="174" spans="2:27" ht="16.5" thickTop="1" thickBot="1" x14ac:dyDescent="0.3">
      <c r="B174" t="s">
        <v>147</v>
      </c>
      <c r="C174" s="22" t="str">
        <f>'Costing inputs'!$C$120</f>
        <v>Training teachers in new curriculum (n/a)</v>
      </c>
      <c r="D174" s="22" t="str">
        <f>'Costing inputs'!$U$120</f>
        <v>Central level</v>
      </c>
      <c r="E174" s="22">
        <f>'Regional splits'!$N$14</f>
        <v>0</v>
      </c>
      <c r="F174">
        <v>0</v>
      </c>
      <c r="G174">
        <v>0</v>
      </c>
      <c r="H174">
        <v>0</v>
      </c>
      <c r="I174">
        <v>0</v>
      </c>
      <c r="J174">
        <v>0</v>
      </c>
      <c r="K174">
        <v>0</v>
      </c>
      <c r="L174">
        <v>0</v>
      </c>
      <c r="M174">
        <v>0</v>
      </c>
      <c r="N174">
        <v>0</v>
      </c>
      <c r="O174">
        <v>0</v>
      </c>
      <c r="P174" s="5">
        <f t="shared" si="24"/>
        <v>0</v>
      </c>
      <c r="Q174">
        <f t="shared" si="25"/>
        <v>0</v>
      </c>
      <c r="R174">
        <f t="shared" si="26"/>
        <v>0</v>
      </c>
      <c r="S174">
        <f t="shared" si="27"/>
        <v>0</v>
      </c>
      <c r="T174">
        <f t="shared" si="28"/>
        <v>0</v>
      </c>
      <c r="U174">
        <f t="shared" si="29"/>
        <v>0</v>
      </c>
      <c r="V174">
        <f t="shared" si="30"/>
        <v>0</v>
      </c>
      <c r="W174">
        <f t="shared" si="31"/>
        <v>0</v>
      </c>
      <c r="X174">
        <f t="shared" si="32"/>
        <v>0</v>
      </c>
      <c r="Y174">
        <f t="shared" si="33"/>
        <v>0</v>
      </c>
      <c r="Z174">
        <f t="shared" si="34"/>
        <v>0</v>
      </c>
      <c r="AA174" t="str">
        <f>INDEX('Priority activities'!$D$5:$D$86,MATCH('Database for analysis'!C174,'Priority activities'!$C$5:$C$86,0))</f>
        <v>n/a</v>
      </c>
    </row>
    <row r="175" spans="2:27" ht="16.5" thickTop="1" thickBot="1" x14ac:dyDescent="0.3">
      <c r="B175" t="s">
        <v>147</v>
      </c>
      <c r="C175" s="22" t="str">
        <f>'Costing inputs'!$C$120</f>
        <v>Training teachers in new curriculum (n/a)</v>
      </c>
      <c r="D175" s="22" t="str">
        <f>'Costing inputs'!$U$120</f>
        <v>Central level</v>
      </c>
      <c r="E175" s="22">
        <f>'Regional splits'!$O$14</f>
        <v>0</v>
      </c>
      <c r="F175">
        <v>0</v>
      </c>
      <c r="G175">
        <v>0</v>
      </c>
      <c r="H175">
        <v>0</v>
      </c>
      <c r="I175">
        <v>0</v>
      </c>
      <c r="J175">
        <v>0</v>
      </c>
      <c r="K175">
        <v>0</v>
      </c>
      <c r="L175">
        <v>0</v>
      </c>
      <c r="M175">
        <v>0</v>
      </c>
      <c r="N175">
        <v>0</v>
      </c>
      <c r="O175">
        <v>0</v>
      </c>
      <c r="P175" s="5">
        <f t="shared" si="24"/>
        <v>0</v>
      </c>
      <c r="Q175">
        <f t="shared" si="25"/>
        <v>0</v>
      </c>
      <c r="R175">
        <f t="shared" si="26"/>
        <v>0</v>
      </c>
      <c r="S175">
        <f t="shared" si="27"/>
        <v>0</v>
      </c>
      <c r="T175">
        <f t="shared" si="28"/>
        <v>0</v>
      </c>
      <c r="U175">
        <f t="shared" si="29"/>
        <v>0</v>
      </c>
      <c r="V175">
        <f t="shared" si="30"/>
        <v>0</v>
      </c>
      <c r="W175">
        <f t="shared" si="31"/>
        <v>0</v>
      </c>
      <c r="X175">
        <f t="shared" si="32"/>
        <v>0</v>
      </c>
      <c r="Y175">
        <f t="shared" si="33"/>
        <v>0</v>
      </c>
      <c r="Z175">
        <f t="shared" si="34"/>
        <v>0</v>
      </c>
      <c r="AA175" t="str">
        <f>INDEX('Priority activities'!$D$5:$D$86,MATCH('Database for analysis'!C175,'Priority activities'!$C$5:$C$86,0))</f>
        <v>n/a</v>
      </c>
    </row>
    <row r="176" spans="2:27" ht="16.5" thickTop="1" thickBot="1" x14ac:dyDescent="0.3">
      <c r="B176" t="s">
        <v>147</v>
      </c>
      <c r="C176" s="22" t="str">
        <f>'Costing inputs'!$C$120</f>
        <v>Training teachers in new curriculum (n/a)</v>
      </c>
      <c r="D176" s="22" t="str">
        <f>'Costing inputs'!$U$120</f>
        <v>Central level</v>
      </c>
      <c r="E176" s="22">
        <f>'Regional splits'!$P$14</f>
        <v>0</v>
      </c>
      <c r="F176">
        <v>0</v>
      </c>
      <c r="G176">
        <v>0</v>
      </c>
      <c r="H176">
        <v>0</v>
      </c>
      <c r="I176">
        <v>0</v>
      </c>
      <c r="J176">
        <v>0</v>
      </c>
      <c r="K176">
        <v>0</v>
      </c>
      <c r="L176">
        <v>0</v>
      </c>
      <c r="M176">
        <v>0</v>
      </c>
      <c r="N176">
        <v>0</v>
      </c>
      <c r="O176">
        <v>0</v>
      </c>
      <c r="P176" s="5">
        <f t="shared" si="24"/>
        <v>0</v>
      </c>
      <c r="Q176">
        <f t="shared" si="25"/>
        <v>0</v>
      </c>
      <c r="R176">
        <f t="shared" si="26"/>
        <v>0</v>
      </c>
      <c r="S176">
        <f t="shared" si="27"/>
        <v>0</v>
      </c>
      <c r="T176">
        <f t="shared" si="28"/>
        <v>0</v>
      </c>
      <c r="U176">
        <f t="shared" si="29"/>
        <v>0</v>
      </c>
      <c r="V176">
        <f t="shared" si="30"/>
        <v>0</v>
      </c>
      <c r="W176">
        <f t="shared" si="31"/>
        <v>0</v>
      </c>
      <c r="X176">
        <f t="shared" si="32"/>
        <v>0</v>
      </c>
      <c r="Y176">
        <f t="shared" si="33"/>
        <v>0</v>
      </c>
      <c r="Z176">
        <f t="shared" si="34"/>
        <v>0</v>
      </c>
      <c r="AA176" t="str">
        <f>INDEX('Priority activities'!$D$5:$D$86,MATCH('Database for analysis'!C176,'Priority activities'!$C$5:$C$86,0))</f>
        <v>n/a</v>
      </c>
    </row>
    <row r="177" spans="2:27" ht="16.5" thickTop="1" thickBot="1" x14ac:dyDescent="0.3">
      <c r="B177" t="s">
        <v>147</v>
      </c>
      <c r="C177" s="22" t="str">
        <f>'Costing inputs'!$C$120</f>
        <v>Training teachers in new curriculum (n/a)</v>
      </c>
      <c r="D177" s="22" t="str">
        <f>'Costing inputs'!$U$120</f>
        <v>Central level</v>
      </c>
      <c r="E177" s="22">
        <f>'Regional splits'!$Q$14</f>
        <v>0</v>
      </c>
      <c r="F177">
        <v>0</v>
      </c>
      <c r="G177">
        <v>0</v>
      </c>
      <c r="H177">
        <v>0</v>
      </c>
      <c r="I177">
        <v>0</v>
      </c>
      <c r="J177">
        <v>0</v>
      </c>
      <c r="K177">
        <v>0</v>
      </c>
      <c r="L177">
        <v>0</v>
      </c>
      <c r="M177">
        <v>0</v>
      </c>
      <c r="N177">
        <v>0</v>
      </c>
      <c r="O177">
        <v>0</v>
      </c>
      <c r="P177" s="5">
        <f t="shared" si="24"/>
        <v>0</v>
      </c>
      <c r="Q177">
        <f t="shared" si="25"/>
        <v>0</v>
      </c>
      <c r="R177">
        <f t="shared" si="26"/>
        <v>0</v>
      </c>
      <c r="S177">
        <f t="shared" si="27"/>
        <v>0</v>
      </c>
      <c r="T177">
        <f t="shared" si="28"/>
        <v>0</v>
      </c>
      <c r="U177">
        <f t="shared" si="29"/>
        <v>0</v>
      </c>
      <c r="V177">
        <f t="shared" si="30"/>
        <v>0</v>
      </c>
      <c r="W177">
        <f t="shared" si="31"/>
        <v>0</v>
      </c>
      <c r="X177">
        <f t="shared" si="32"/>
        <v>0</v>
      </c>
      <c r="Y177">
        <f t="shared" si="33"/>
        <v>0</v>
      </c>
      <c r="Z177">
        <f t="shared" si="34"/>
        <v>0</v>
      </c>
      <c r="AA177" t="str">
        <f>INDEX('Priority activities'!$D$5:$D$86,MATCH('Database for analysis'!C177,'Priority activities'!$C$5:$C$86,0))</f>
        <v>n/a</v>
      </c>
    </row>
    <row r="178" spans="2:27" ht="16.5" thickTop="1" thickBot="1" x14ac:dyDescent="0.3">
      <c r="B178" t="s">
        <v>147</v>
      </c>
      <c r="C178" s="22" t="str">
        <f>'Costing inputs'!$C$120</f>
        <v>Training teachers in new curriculum (n/a)</v>
      </c>
      <c r="D178" s="22" t="str">
        <f>'Costing inputs'!$U$120</f>
        <v>Central level</v>
      </c>
      <c r="E178" s="22" t="str">
        <f>'Regional splits'!$R$14</f>
        <v>National-level</v>
      </c>
      <c r="F178">
        <v>0</v>
      </c>
      <c r="G178">
        <v>0</v>
      </c>
      <c r="H178">
        <v>0</v>
      </c>
      <c r="I178">
        <v>0</v>
      </c>
      <c r="J178">
        <v>0</v>
      </c>
      <c r="K178">
        <v>0</v>
      </c>
      <c r="L178">
        <v>0</v>
      </c>
      <c r="M178">
        <v>0</v>
      </c>
      <c r="N178">
        <v>0</v>
      </c>
      <c r="O178">
        <v>0</v>
      </c>
      <c r="P178" s="5">
        <f t="shared" si="24"/>
        <v>0</v>
      </c>
      <c r="Q178">
        <f t="shared" si="25"/>
        <v>0</v>
      </c>
      <c r="R178">
        <f t="shared" si="26"/>
        <v>0</v>
      </c>
      <c r="S178">
        <f t="shared" si="27"/>
        <v>0</v>
      </c>
      <c r="T178">
        <f t="shared" si="28"/>
        <v>0</v>
      </c>
      <c r="U178">
        <f t="shared" si="29"/>
        <v>0</v>
      </c>
      <c r="V178">
        <f t="shared" si="30"/>
        <v>0</v>
      </c>
      <c r="W178">
        <f t="shared" si="31"/>
        <v>0</v>
      </c>
      <c r="X178">
        <f t="shared" si="32"/>
        <v>0</v>
      </c>
      <c r="Y178">
        <f t="shared" si="33"/>
        <v>0</v>
      </c>
      <c r="Z178">
        <f t="shared" si="34"/>
        <v>0</v>
      </c>
      <c r="AA178" t="str">
        <f>INDEX('Priority activities'!$D$5:$D$86,MATCH('Database for analysis'!C178,'Priority activities'!$C$5:$C$86,0))</f>
        <v>n/a</v>
      </c>
    </row>
    <row r="179" spans="2:27" ht="16.5" thickTop="1" thickBot="1" x14ac:dyDescent="0.3">
      <c r="B179" t="s">
        <v>147</v>
      </c>
      <c r="C179" s="22" t="str">
        <f>'Costing inputs'!$C$125</f>
        <v>Peer educators/ Youth CBDs (D.3.1)</v>
      </c>
      <c r="D179" s="22" t="str">
        <f>'Costing inputs'!$U$125</f>
        <v>Districts</v>
      </c>
      <c r="E179" s="22" t="str">
        <f>'Regional splits'!$C$14</f>
        <v>Central</v>
      </c>
      <c r="F179">
        <f t="array" ref="F179:O194">'Costing inputs'!S125*'Costing inputs'!AP125:AY125*TRANSPOSE('Costing inputs'!W125:AL125)</f>
        <v>0</v>
      </c>
      <c r="G179">
        <v>54751.374666666656</v>
      </c>
      <c r="H179">
        <v>54751.374666666656</v>
      </c>
      <c r="I179">
        <v>54751.374666666656</v>
      </c>
      <c r="J179">
        <v>54751.374666666656</v>
      </c>
      <c r="K179">
        <v>54751.374666666656</v>
      </c>
      <c r="L179">
        <v>54751.374666666656</v>
      </c>
      <c r="M179">
        <v>54751.374666666656</v>
      </c>
      <c r="N179">
        <v>0</v>
      </c>
      <c r="O179">
        <v>0</v>
      </c>
      <c r="P179" s="5">
        <f t="shared" si="24"/>
        <v>383259.62266666663</v>
      </c>
      <c r="Q179">
        <f t="shared" si="25"/>
        <v>0</v>
      </c>
      <c r="R179">
        <f t="shared" si="26"/>
        <v>54751.374666666656</v>
      </c>
      <c r="S179">
        <f t="shared" si="27"/>
        <v>54751.374666666656</v>
      </c>
      <c r="T179">
        <f t="shared" si="28"/>
        <v>54751.374666666656</v>
      </c>
      <c r="U179">
        <f t="shared" si="29"/>
        <v>54751.374666666656</v>
      </c>
      <c r="V179">
        <f t="shared" si="30"/>
        <v>54751.374666666656</v>
      </c>
      <c r="W179">
        <f t="shared" si="31"/>
        <v>54751.374666666656</v>
      </c>
      <c r="X179">
        <f t="shared" si="32"/>
        <v>54751.374666666656</v>
      </c>
      <c r="Y179">
        <f t="shared" si="33"/>
        <v>0</v>
      </c>
      <c r="Z179">
        <f t="shared" si="34"/>
        <v>0</v>
      </c>
      <c r="AA179" t="str">
        <f>INDEX('Priority activities'!$D$5:$D$86,MATCH('Database for analysis'!C179,'Priority activities'!$C$5:$C$86,0))</f>
        <v>Adolescents and youth</v>
      </c>
    </row>
    <row r="180" spans="2:27" ht="16.5" thickTop="1" thickBot="1" x14ac:dyDescent="0.3">
      <c r="B180" t="s">
        <v>147</v>
      </c>
      <c r="C180" s="22" t="str">
        <f>'Costing inputs'!$C$125</f>
        <v>Peer educators/ Youth CBDs (D.3.1)</v>
      </c>
      <c r="D180" s="22" t="str">
        <f>'Costing inputs'!$U$125</f>
        <v>Districts</v>
      </c>
      <c r="E180" s="22" t="str">
        <f>'Regional splits'!$D$14</f>
        <v>Copperbelt</v>
      </c>
      <c r="F180">
        <v>0</v>
      </c>
      <c r="G180">
        <v>91252.291111111103</v>
      </c>
      <c r="H180">
        <v>91252.291111111103</v>
      </c>
      <c r="I180">
        <v>91252.291111111103</v>
      </c>
      <c r="J180">
        <v>91252.291111111103</v>
      </c>
      <c r="K180">
        <v>91252.291111111103</v>
      </c>
      <c r="L180">
        <v>91252.291111111103</v>
      </c>
      <c r="M180">
        <v>91252.291111111103</v>
      </c>
      <c r="N180">
        <v>0</v>
      </c>
      <c r="O180">
        <v>0</v>
      </c>
      <c r="P180" s="5">
        <f t="shared" si="24"/>
        <v>638766.03777777764</v>
      </c>
      <c r="Q180">
        <f t="shared" si="25"/>
        <v>0</v>
      </c>
      <c r="R180">
        <f t="shared" si="26"/>
        <v>91252.291111111103</v>
      </c>
      <c r="S180">
        <f t="shared" si="27"/>
        <v>91252.291111111103</v>
      </c>
      <c r="T180">
        <f t="shared" si="28"/>
        <v>91252.291111111103</v>
      </c>
      <c r="U180">
        <f t="shared" si="29"/>
        <v>91252.291111111103</v>
      </c>
      <c r="V180">
        <f t="shared" si="30"/>
        <v>91252.291111111103</v>
      </c>
      <c r="W180">
        <f t="shared" si="31"/>
        <v>91252.291111111103</v>
      </c>
      <c r="X180">
        <f t="shared" si="32"/>
        <v>91252.291111111103</v>
      </c>
      <c r="Y180">
        <f t="shared" si="33"/>
        <v>0</v>
      </c>
      <c r="Z180">
        <f t="shared" si="34"/>
        <v>0</v>
      </c>
      <c r="AA180" t="str">
        <f>INDEX('Priority activities'!$D$5:$D$86,MATCH('Database for analysis'!C180,'Priority activities'!$C$5:$C$86,0))</f>
        <v>Adolescents and youth</v>
      </c>
    </row>
    <row r="181" spans="2:27" ht="16.5" thickTop="1" thickBot="1" x14ac:dyDescent="0.3">
      <c r="B181" t="s">
        <v>147</v>
      </c>
      <c r="C181" s="22" t="str">
        <f>'Costing inputs'!$C$125</f>
        <v>Peer educators/ Youth CBDs (D.3.1)</v>
      </c>
      <c r="D181" s="22" t="str">
        <f>'Costing inputs'!$U$125</f>
        <v>Districts</v>
      </c>
      <c r="E181" s="22" t="str">
        <f>'Regional splits'!$E$14</f>
        <v>Eastern</v>
      </c>
      <c r="F181">
        <v>0</v>
      </c>
      <c r="G181">
        <v>63876.603777777775</v>
      </c>
      <c r="H181">
        <v>63876.603777777775</v>
      </c>
      <c r="I181">
        <v>63876.603777777775</v>
      </c>
      <c r="J181">
        <v>63876.603777777775</v>
      </c>
      <c r="K181">
        <v>63876.603777777775</v>
      </c>
      <c r="L181">
        <v>63876.603777777775</v>
      </c>
      <c r="M181">
        <v>63876.603777777775</v>
      </c>
      <c r="N181">
        <v>0</v>
      </c>
      <c r="O181">
        <v>0</v>
      </c>
      <c r="P181" s="5">
        <f t="shared" si="24"/>
        <v>447136.22644444439</v>
      </c>
      <c r="Q181">
        <f t="shared" si="25"/>
        <v>0</v>
      </c>
      <c r="R181">
        <f t="shared" si="26"/>
        <v>63876.603777777775</v>
      </c>
      <c r="S181">
        <f t="shared" si="27"/>
        <v>63876.603777777775</v>
      </c>
      <c r="T181">
        <f t="shared" si="28"/>
        <v>63876.603777777775</v>
      </c>
      <c r="U181">
        <f t="shared" si="29"/>
        <v>63876.603777777775</v>
      </c>
      <c r="V181">
        <f t="shared" si="30"/>
        <v>63876.603777777775</v>
      </c>
      <c r="W181">
        <f t="shared" si="31"/>
        <v>63876.603777777775</v>
      </c>
      <c r="X181">
        <f t="shared" si="32"/>
        <v>63876.603777777775</v>
      </c>
      <c r="Y181">
        <f t="shared" si="33"/>
        <v>0</v>
      </c>
      <c r="Z181">
        <f t="shared" si="34"/>
        <v>0</v>
      </c>
      <c r="AA181" t="str">
        <f>INDEX('Priority activities'!$D$5:$D$86,MATCH('Database for analysis'!C181,'Priority activities'!$C$5:$C$86,0))</f>
        <v>Adolescents and youth</v>
      </c>
    </row>
    <row r="182" spans="2:27" ht="16.5" thickTop="1" thickBot="1" x14ac:dyDescent="0.3">
      <c r="B182" t="s">
        <v>147</v>
      </c>
      <c r="C182" s="22" t="str">
        <f>'Costing inputs'!$C$125</f>
        <v>Peer educators/ Youth CBDs (D.3.1)</v>
      </c>
      <c r="D182" s="22" t="str">
        <f>'Costing inputs'!$U$125</f>
        <v>Districts</v>
      </c>
      <c r="E182" s="22" t="str">
        <f>'Regional splits'!$F$14</f>
        <v>Luapula</v>
      </c>
      <c r="F182">
        <v>0</v>
      </c>
      <c r="G182">
        <v>63876.603777777775</v>
      </c>
      <c r="H182">
        <v>63876.603777777775</v>
      </c>
      <c r="I182">
        <v>63876.603777777775</v>
      </c>
      <c r="J182">
        <v>63876.603777777775</v>
      </c>
      <c r="K182">
        <v>63876.603777777775</v>
      </c>
      <c r="L182">
        <v>63876.603777777775</v>
      </c>
      <c r="M182">
        <v>63876.603777777775</v>
      </c>
      <c r="N182">
        <v>0</v>
      </c>
      <c r="O182">
        <v>0</v>
      </c>
      <c r="P182" s="5">
        <f t="shared" si="24"/>
        <v>447136.22644444439</v>
      </c>
      <c r="Q182">
        <f t="shared" si="25"/>
        <v>0</v>
      </c>
      <c r="R182">
        <f t="shared" si="26"/>
        <v>63876.603777777775</v>
      </c>
      <c r="S182">
        <f t="shared" si="27"/>
        <v>63876.603777777775</v>
      </c>
      <c r="T182">
        <f t="shared" si="28"/>
        <v>63876.603777777775</v>
      </c>
      <c r="U182">
        <f t="shared" si="29"/>
        <v>63876.603777777775</v>
      </c>
      <c r="V182">
        <f t="shared" si="30"/>
        <v>63876.603777777775</v>
      </c>
      <c r="W182">
        <f t="shared" si="31"/>
        <v>63876.603777777775</v>
      </c>
      <c r="X182">
        <f t="shared" si="32"/>
        <v>63876.603777777775</v>
      </c>
      <c r="Y182">
        <f t="shared" si="33"/>
        <v>0</v>
      </c>
      <c r="Z182">
        <f t="shared" si="34"/>
        <v>0</v>
      </c>
      <c r="AA182" t="str">
        <f>INDEX('Priority activities'!$D$5:$D$86,MATCH('Database for analysis'!C182,'Priority activities'!$C$5:$C$86,0))</f>
        <v>Adolescents and youth</v>
      </c>
    </row>
    <row r="183" spans="2:27" ht="16.5" thickTop="1" thickBot="1" x14ac:dyDescent="0.3">
      <c r="B183" t="s">
        <v>147</v>
      </c>
      <c r="C183" s="22" t="str">
        <f>'Costing inputs'!$C$125</f>
        <v>Peer educators/ Youth CBDs (D.3.1)</v>
      </c>
      <c r="D183" s="22" t="str">
        <f>'Costing inputs'!$U$125</f>
        <v>Districts</v>
      </c>
      <c r="E183" s="22" t="str">
        <f>'Regional splits'!$G$14</f>
        <v>Lusaka</v>
      </c>
      <c r="F183">
        <v>0</v>
      </c>
      <c r="G183">
        <v>36500.91644444444</v>
      </c>
      <c r="H183">
        <v>36500.91644444444</v>
      </c>
      <c r="I183">
        <v>36500.91644444444</v>
      </c>
      <c r="J183">
        <v>36500.91644444444</v>
      </c>
      <c r="K183">
        <v>36500.91644444444</v>
      </c>
      <c r="L183">
        <v>36500.91644444444</v>
      </c>
      <c r="M183">
        <v>36500.91644444444</v>
      </c>
      <c r="N183">
        <v>0</v>
      </c>
      <c r="O183">
        <v>0</v>
      </c>
      <c r="P183" s="5">
        <f t="shared" si="24"/>
        <v>255506.4151111111</v>
      </c>
      <c r="Q183">
        <f t="shared" si="25"/>
        <v>0</v>
      </c>
      <c r="R183">
        <f t="shared" si="26"/>
        <v>36500.91644444444</v>
      </c>
      <c r="S183">
        <f t="shared" si="27"/>
        <v>36500.91644444444</v>
      </c>
      <c r="T183">
        <f t="shared" si="28"/>
        <v>36500.91644444444</v>
      </c>
      <c r="U183">
        <f t="shared" si="29"/>
        <v>36500.91644444444</v>
      </c>
      <c r="V183">
        <f t="shared" si="30"/>
        <v>36500.91644444444</v>
      </c>
      <c r="W183">
        <f t="shared" si="31"/>
        <v>36500.91644444444</v>
      </c>
      <c r="X183">
        <f t="shared" si="32"/>
        <v>36500.91644444444</v>
      </c>
      <c r="Y183">
        <f t="shared" si="33"/>
        <v>0</v>
      </c>
      <c r="Z183">
        <f t="shared" si="34"/>
        <v>0</v>
      </c>
      <c r="AA183" t="str">
        <f>INDEX('Priority activities'!$D$5:$D$86,MATCH('Database for analysis'!C183,'Priority activities'!$C$5:$C$86,0))</f>
        <v>Adolescents and youth</v>
      </c>
    </row>
    <row r="184" spans="2:27" ht="16.5" thickTop="1" thickBot="1" x14ac:dyDescent="0.3">
      <c r="B184" t="s">
        <v>147</v>
      </c>
      <c r="C184" s="22" t="str">
        <f>'Costing inputs'!$C$125</f>
        <v>Peer educators/ Youth CBDs (D.3.1)</v>
      </c>
      <c r="D184" s="22" t="str">
        <f>'Costing inputs'!$U$125</f>
        <v>Districts</v>
      </c>
      <c r="E184" s="22" t="str">
        <f>'Regional splits'!$H$14</f>
        <v>Muchinga</v>
      </c>
      <c r="F184">
        <v>0</v>
      </c>
      <c r="G184">
        <v>45626.145555555551</v>
      </c>
      <c r="H184">
        <v>45626.145555555551</v>
      </c>
      <c r="I184">
        <v>45626.145555555551</v>
      </c>
      <c r="J184">
        <v>45626.145555555551</v>
      </c>
      <c r="K184">
        <v>45626.145555555551</v>
      </c>
      <c r="L184">
        <v>45626.145555555551</v>
      </c>
      <c r="M184">
        <v>45626.145555555551</v>
      </c>
      <c r="N184">
        <v>0</v>
      </c>
      <c r="O184">
        <v>0</v>
      </c>
      <c r="P184" s="5">
        <f t="shared" si="24"/>
        <v>319383.01888888882</v>
      </c>
      <c r="Q184">
        <f t="shared" si="25"/>
        <v>0</v>
      </c>
      <c r="R184">
        <f t="shared" si="26"/>
        <v>45626.145555555551</v>
      </c>
      <c r="S184">
        <f t="shared" si="27"/>
        <v>45626.145555555551</v>
      </c>
      <c r="T184">
        <f t="shared" si="28"/>
        <v>45626.145555555551</v>
      </c>
      <c r="U184">
        <f t="shared" si="29"/>
        <v>45626.145555555551</v>
      </c>
      <c r="V184">
        <f t="shared" si="30"/>
        <v>45626.145555555551</v>
      </c>
      <c r="W184">
        <f t="shared" si="31"/>
        <v>45626.145555555551</v>
      </c>
      <c r="X184">
        <f t="shared" si="32"/>
        <v>45626.145555555551</v>
      </c>
      <c r="Y184">
        <f t="shared" si="33"/>
        <v>0</v>
      </c>
      <c r="Z184">
        <f t="shared" si="34"/>
        <v>0</v>
      </c>
      <c r="AA184" t="str">
        <f>INDEX('Priority activities'!$D$5:$D$86,MATCH('Database for analysis'!C184,'Priority activities'!$C$5:$C$86,0))</f>
        <v>Adolescents and youth</v>
      </c>
    </row>
    <row r="185" spans="2:27" ht="16.5" thickTop="1" thickBot="1" x14ac:dyDescent="0.3">
      <c r="B185" t="s">
        <v>147</v>
      </c>
      <c r="C185" s="22" t="str">
        <f>'Costing inputs'!$C$125</f>
        <v>Peer educators/ Youth CBDs (D.3.1)</v>
      </c>
      <c r="D185" s="22" t="str">
        <f>'Costing inputs'!$U$125</f>
        <v>Districts</v>
      </c>
      <c r="E185" s="22" t="str">
        <f>'Regional splits'!$I$14</f>
        <v>Northern</v>
      </c>
      <c r="F185">
        <v>0</v>
      </c>
      <c r="G185">
        <v>73001.832888888879</v>
      </c>
      <c r="H185">
        <v>73001.832888888879</v>
      </c>
      <c r="I185">
        <v>73001.832888888879</v>
      </c>
      <c r="J185">
        <v>73001.832888888879</v>
      </c>
      <c r="K185">
        <v>73001.832888888879</v>
      </c>
      <c r="L185">
        <v>73001.832888888879</v>
      </c>
      <c r="M185">
        <v>73001.832888888879</v>
      </c>
      <c r="N185">
        <v>0</v>
      </c>
      <c r="O185">
        <v>0</v>
      </c>
      <c r="P185" s="5">
        <f t="shared" si="24"/>
        <v>511012.8302222222</v>
      </c>
      <c r="Q185">
        <f t="shared" si="25"/>
        <v>0</v>
      </c>
      <c r="R185">
        <f t="shared" si="26"/>
        <v>73001.832888888879</v>
      </c>
      <c r="S185">
        <f t="shared" si="27"/>
        <v>73001.832888888879</v>
      </c>
      <c r="T185">
        <f t="shared" si="28"/>
        <v>73001.832888888879</v>
      </c>
      <c r="U185">
        <f t="shared" si="29"/>
        <v>73001.832888888879</v>
      </c>
      <c r="V185">
        <f t="shared" si="30"/>
        <v>73001.832888888879</v>
      </c>
      <c r="W185">
        <f t="shared" si="31"/>
        <v>73001.832888888879</v>
      </c>
      <c r="X185">
        <f t="shared" si="32"/>
        <v>73001.832888888879</v>
      </c>
      <c r="Y185">
        <f t="shared" si="33"/>
        <v>0</v>
      </c>
      <c r="Z185">
        <f t="shared" si="34"/>
        <v>0</v>
      </c>
      <c r="AA185" t="str">
        <f>INDEX('Priority activities'!$D$5:$D$86,MATCH('Database for analysis'!C185,'Priority activities'!$C$5:$C$86,0))</f>
        <v>Adolescents and youth</v>
      </c>
    </row>
    <row r="186" spans="2:27" ht="16.5" thickTop="1" thickBot="1" x14ac:dyDescent="0.3">
      <c r="B186" t="s">
        <v>147</v>
      </c>
      <c r="C186" s="22" t="str">
        <f>'Costing inputs'!$C$125</f>
        <v>Peer educators/ Youth CBDs (D.3.1)</v>
      </c>
      <c r="D186" s="22" t="str">
        <f>'Costing inputs'!$U$125</f>
        <v>Districts</v>
      </c>
      <c r="E186" s="22" t="str">
        <f>'Regional splits'!$J$14</f>
        <v>North Western</v>
      </c>
      <c r="F186">
        <v>0</v>
      </c>
      <c r="G186">
        <v>63876.603777777775</v>
      </c>
      <c r="H186">
        <v>63876.603777777775</v>
      </c>
      <c r="I186">
        <v>63876.603777777775</v>
      </c>
      <c r="J186">
        <v>63876.603777777775</v>
      </c>
      <c r="K186">
        <v>63876.603777777775</v>
      </c>
      <c r="L186">
        <v>63876.603777777775</v>
      </c>
      <c r="M186">
        <v>63876.603777777775</v>
      </c>
      <c r="N186">
        <v>0</v>
      </c>
      <c r="O186">
        <v>0</v>
      </c>
      <c r="P186" s="5">
        <f t="shared" si="24"/>
        <v>447136.22644444439</v>
      </c>
      <c r="Q186">
        <f t="shared" si="25"/>
        <v>0</v>
      </c>
      <c r="R186">
        <f t="shared" si="26"/>
        <v>63876.603777777775</v>
      </c>
      <c r="S186">
        <f t="shared" si="27"/>
        <v>63876.603777777775</v>
      </c>
      <c r="T186">
        <f t="shared" si="28"/>
        <v>63876.603777777775</v>
      </c>
      <c r="U186">
        <f t="shared" si="29"/>
        <v>63876.603777777775</v>
      </c>
      <c r="V186">
        <f t="shared" si="30"/>
        <v>63876.603777777775</v>
      </c>
      <c r="W186">
        <f t="shared" si="31"/>
        <v>63876.603777777775</v>
      </c>
      <c r="X186">
        <f t="shared" si="32"/>
        <v>63876.603777777775</v>
      </c>
      <c r="Y186">
        <f t="shared" si="33"/>
        <v>0</v>
      </c>
      <c r="Z186">
        <f t="shared" si="34"/>
        <v>0</v>
      </c>
      <c r="AA186" t="str">
        <f>INDEX('Priority activities'!$D$5:$D$86,MATCH('Database for analysis'!C186,'Priority activities'!$C$5:$C$86,0))</f>
        <v>Adolescents and youth</v>
      </c>
    </row>
    <row r="187" spans="2:27" ht="16.5" thickTop="1" thickBot="1" x14ac:dyDescent="0.3">
      <c r="B187" t="s">
        <v>147</v>
      </c>
      <c r="C187" s="22" t="str">
        <f>'Costing inputs'!$C$125</f>
        <v>Peer educators/ Youth CBDs (D.3.1)</v>
      </c>
      <c r="D187" s="22" t="str">
        <f>'Costing inputs'!$U$125</f>
        <v>Districts</v>
      </c>
      <c r="E187" s="22" t="str">
        <f>'Regional splits'!$K$14</f>
        <v>Southern</v>
      </c>
      <c r="F187">
        <v>0</v>
      </c>
      <c r="G187">
        <v>100377.52022222221</v>
      </c>
      <c r="H187">
        <v>100377.52022222221</v>
      </c>
      <c r="I187">
        <v>100377.52022222221</v>
      </c>
      <c r="J187">
        <v>100377.52022222221</v>
      </c>
      <c r="K187">
        <v>100377.52022222221</v>
      </c>
      <c r="L187">
        <v>100377.52022222221</v>
      </c>
      <c r="M187">
        <v>100377.52022222221</v>
      </c>
      <c r="N187">
        <v>0</v>
      </c>
      <c r="O187">
        <v>0</v>
      </c>
      <c r="P187" s="5">
        <f t="shared" si="24"/>
        <v>702642.64155555551</v>
      </c>
      <c r="Q187">
        <f t="shared" si="25"/>
        <v>0</v>
      </c>
      <c r="R187">
        <f t="shared" si="26"/>
        <v>100377.52022222221</v>
      </c>
      <c r="S187">
        <f t="shared" si="27"/>
        <v>100377.52022222221</v>
      </c>
      <c r="T187">
        <f t="shared" si="28"/>
        <v>100377.52022222221</v>
      </c>
      <c r="U187">
        <f t="shared" si="29"/>
        <v>100377.52022222221</v>
      </c>
      <c r="V187">
        <f t="shared" si="30"/>
        <v>100377.52022222221</v>
      </c>
      <c r="W187">
        <f t="shared" si="31"/>
        <v>100377.52022222221</v>
      </c>
      <c r="X187">
        <f t="shared" si="32"/>
        <v>100377.52022222221</v>
      </c>
      <c r="Y187">
        <f t="shared" si="33"/>
        <v>0</v>
      </c>
      <c r="Z187">
        <f t="shared" si="34"/>
        <v>0</v>
      </c>
      <c r="AA187" t="str">
        <f>INDEX('Priority activities'!$D$5:$D$86,MATCH('Database for analysis'!C187,'Priority activities'!$C$5:$C$86,0))</f>
        <v>Adolescents and youth</v>
      </c>
    </row>
    <row r="188" spans="2:27" ht="16.5" thickTop="1" thickBot="1" x14ac:dyDescent="0.3">
      <c r="B188" t="s">
        <v>147</v>
      </c>
      <c r="C188" s="22" t="str">
        <f>'Costing inputs'!$C$125</f>
        <v>Peer educators/ Youth CBDs (D.3.1)</v>
      </c>
      <c r="D188" s="22" t="str">
        <f>'Costing inputs'!$U$125</f>
        <v>Districts</v>
      </c>
      <c r="E188" s="22" t="str">
        <f>'Regional splits'!$L$14</f>
        <v>Western</v>
      </c>
      <c r="F188">
        <v>0</v>
      </c>
      <c r="G188">
        <v>63876.603777777775</v>
      </c>
      <c r="H188">
        <v>63876.603777777775</v>
      </c>
      <c r="I188">
        <v>63876.603777777775</v>
      </c>
      <c r="J188">
        <v>63876.603777777775</v>
      </c>
      <c r="K188">
        <v>63876.603777777775</v>
      </c>
      <c r="L188">
        <v>63876.603777777775</v>
      </c>
      <c r="M188">
        <v>63876.603777777775</v>
      </c>
      <c r="N188">
        <v>0</v>
      </c>
      <c r="O188">
        <v>0</v>
      </c>
      <c r="P188" s="5">
        <f t="shared" si="24"/>
        <v>447136.22644444439</v>
      </c>
      <c r="Q188">
        <f t="shared" si="25"/>
        <v>0</v>
      </c>
      <c r="R188">
        <f t="shared" si="26"/>
        <v>63876.603777777775</v>
      </c>
      <c r="S188">
        <f t="shared" si="27"/>
        <v>63876.603777777775</v>
      </c>
      <c r="T188">
        <f t="shared" si="28"/>
        <v>63876.603777777775</v>
      </c>
      <c r="U188">
        <f t="shared" si="29"/>
        <v>63876.603777777775</v>
      </c>
      <c r="V188">
        <f t="shared" si="30"/>
        <v>63876.603777777775</v>
      </c>
      <c r="W188">
        <f t="shared" si="31"/>
        <v>63876.603777777775</v>
      </c>
      <c r="X188">
        <f t="shared" si="32"/>
        <v>63876.603777777775</v>
      </c>
      <c r="Y188">
        <f t="shared" si="33"/>
        <v>0</v>
      </c>
      <c r="Z188">
        <f t="shared" si="34"/>
        <v>0</v>
      </c>
      <c r="AA188" t="str">
        <f>INDEX('Priority activities'!$D$5:$D$86,MATCH('Database for analysis'!C188,'Priority activities'!$C$5:$C$86,0))</f>
        <v>Adolescents and youth</v>
      </c>
    </row>
    <row r="189" spans="2:27" ht="16.5" thickTop="1" thickBot="1" x14ac:dyDescent="0.3">
      <c r="B189" t="s">
        <v>147</v>
      </c>
      <c r="C189" s="22" t="str">
        <f>'Costing inputs'!$C$125</f>
        <v>Peer educators/ Youth CBDs (D.3.1)</v>
      </c>
      <c r="D189" s="22" t="str">
        <f>'Costing inputs'!$U$125</f>
        <v>Districts</v>
      </c>
      <c r="E189" s="22">
        <f>'Regional splits'!$M$14</f>
        <v>0</v>
      </c>
      <c r="F189">
        <v>0</v>
      </c>
      <c r="G189">
        <v>0</v>
      </c>
      <c r="H189">
        <v>0</v>
      </c>
      <c r="I189">
        <v>0</v>
      </c>
      <c r="J189">
        <v>0</v>
      </c>
      <c r="K189">
        <v>0</v>
      </c>
      <c r="L189">
        <v>0</v>
      </c>
      <c r="M189">
        <v>0</v>
      </c>
      <c r="N189">
        <v>0</v>
      </c>
      <c r="O189">
        <v>0</v>
      </c>
      <c r="P189" s="5">
        <f t="shared" si="24"/>
        <v>0</v>
      </c>
      <c r="Q189">
        <f t="shared" si="25"/>
        <v>0</v>
      </c>
      <c r="R189">
        <f t="shared" si="26"/>
        <v>0</v>
      </c>
      <c r="S189">
        <f t="shared" si="27"/>
        <v>0</v>
      </c>
      <c r="T189">
        <f t="shared" si="28"/>
        <v>0</v>
      </c>
      <c r="U189">
        <f t="shared" si="29"/>
        <v>0</v>
      </c>
      <c r="V189">
        <f t="shared" si="30"/>
        <v>0</v>
      </c>
      <c r="W189">
        <f t="shared" si="31"/>
        <v>0</v>
      </c>
      <c r="X189">
        <f t="shared" si="32"/>
        <v>0</v>
      </c>
      <c r="Y189">
        <f t="shared" si="33"/>
        <v>0</v>
      </c>
      <c r="Z189">
        <f t="shared" si="34"/>
        <v>0</v>
      </c>
      <c r="AA189" t="str">
        <f>INDEX('Priority activities'!$D$5:$D$86,MATCH('Database for analysis'!C189,'Priority activities'!$C$5:$C$86,0))</f>
        <v>Adolescents and youth</v>
      </c>
    </row>
    <row r="190" spans="2:27" ht="16.5" thickTop="1" thickBot="1" x14ac:dyDescent="0.3">
      <c r="B190" t="s">
        <v>147</v>
      </c>
      <c r="C190" s="22" t="str">
        <f>'Costing inputs'!$C$125</f>
        <v>Peer educators/ Youth CBDs (D.3.1)</v>
      </c>
      <c r="D190" s="22" t="str">
        <f>'Costing inputs'!$U$125</f>
        <v>Districts</v>
      </c>
      <c r="E190" s="22">
        <f>'Regional splits'!$N$14</f>
        <v>0</v>
      </c>
      <c r="F190">
        <v>0</v>
      </c>
      <c r="G190">
        <v>0</v>
      </c>
      <c r="H190">
        <v>0</v>
      </c>
      <c r="I190">
        <v>0</v>
      </c>
      <c r="J190">
        <v>0</v>
      </c>
      <c r="K190">
        <v>0</v>
      </c>
      <c r="L190">
        <v>0</v>
      </c>
      <c r="M190">
        <v>0</v>
      </c>
      <c r="N190">
        <v>0</v>
      </c>
      <c r="O190">
        <v>0</v>
      </c>
      <c r="P190" s="5">
        <f t="shared" si="24"/>
        <v>0</v>
      </c>
      <c r="Q190">
        <f t="shared" si="25"/>
        <v>0</v>
      </c>
      <c r="R190">
        <f t="shared" si="26"/>
        <v>0</v>
      </c>
      <c r="S190">
        <f t="shared" si="27"/>
        <v>0</v>
      </c>
      <c r="T190">
        <f t="shared" si="28"/>
        <v>0</v>
      </c>
      <c r="U190">
        <f t="shared" si="29"/>
        <v>0</v>
      </c>
      <c r="V190">
        <f t="shared" si="30"/>
        <v>0</v>
      </c>
      <c r="W190">
        <f t="shared" si="31"/>
        <v>0</v>
      </c>
      <c r="X190">
        <f t="shared" si="32"/>
        <v>0</v>
      </c>
      <c r="Y190">
        <f t="shared" si="33"/>
        <v>0</v>
      </c>
      <c r="Z190">
        <f t="shared" si="34"/>
        <v>0</v>
      </c>
      <c r="AA190" t="str">
        <f>INDEX('Priority activities'!$D$5:$D$86,MATCH('Database for analysis'!C190,'Priority activities'!$C$5:$C$86,0))</f>
        <v>Adolescents and youth</v>
      </c>
    </row>
    <row r="191" spans="2:27" ht="16.5" thickTop="1" thickBot="1" x14ac:dyDescent="0.3">
      <c r="B191" t="s">
        <v>147</v>
      </c>
      <c r="C191" s="22" t="str">
        <f>'Costing inputs'!$C$125</f>
        <v>Peer educators/ Youth CBDs (D.3.1)</v>
      </c>
      <c r="D191" s="22" t="str">
        <f>'Costing inputs'!$U$125</f>
        <v>Districts</v>
      </c>
      <c r="E191" s="22">
        <f>'Regional splits'!$O$14</f>
        <v>0</v>
      </c>
      <c r="F191">
        <v>0</v>
      </c>
      <c r="G191">
        <v>0</v>
      </c>
      <c r="H191">
        <v>0</v>
      </c>
      <c r="I191">
        <v>0</v>
      </c>
      <c r="J191">
        <v>0</v>
      </c>
      <c r="K191">
        <v>0</v>
      </c>
      <c r="L191">
        <v>0</v>
      </c>
      <c r="M191">
        <v>0</v>
      </c>
      <c r="N191">
        <v>0</v>
      </c>
      <c r="O191">
        <v>0</v>
      </c>
      <c r="P191" s="5">
        <f t="shared" si="24"/>
        <v>0</v>
      </c>
      <c r="Q191">
        <f t="shared" si="25"/>
        <v>0</v>
      </c>
      <c r="R191">
        <f t="shared" si="26"/>
        <v>0</v>
      </c>
      <c r="S191">
        <f t="shared" si="27"/>
        <v>0</v>
      </c>
      <c r="T191">
        <f t="shared" si="28"/>
        <v>0</v>
      </c>
      <c r="U191">
        <f t="shared" si="29"/>
        <v>0</v>
      </c>
      <c r="V191">
        <f t="shared" si="30"/>
        <v>0</v>
      </c>
      <c r="W191">
        <f t="shared" si="31"/>
        <v>0</v>
      </c>
      <c r="X191">
        <f t="shared" si="32"/>
        <v>0</v>
      </c>
      <c r="Y191">
        <f t="shared" si="33"/>
        <v>0</v>
      </c>
      <c r="Z191">
        <f t="shared" si="34"/>
        <v>0</v>
      </c>
      <c r="AA191" t="str">
        <f>INDEX('Priority activities'!$D$5:$D$86,MATCH('Database for analysis'!C191,'Priority activities'!$C$5:$C$86,0))</f>
        <v>Adolescents and youth</v>
      </c>
    </row>
    <row r="192" spans="2:27" ht="16.5" thickTop="1" thickBot="1" x14ac:dyDescent="0.3">
      <c r="B192" t="s">
        <v>147</v>
      </c>
      <c r="C192" s="22" t="str">
        <f>'Costing inputs'!$C$125</f>
        <v>Peer educators/ Youth CBDs (D.3.1)</v>
      </c>
      <c r="D192" s="22" t="str">
        <f>'Costing inputs'!$U$125</f>
        <v>Districts</v>
      </c>
      <c r="E192" s="22">
        <f>'Regional splits'!$P$14</f>
        <v>0</v>
      </c>
      <c r="F192">
        <v>0</v>
      </c>
      <c r="G192">
        <v>0</v>
      </c>
      <c r="H192">
        <v>0</v>
      </c>
      <c r="I192">
        <v>0</v>
      </c>
      <c r="J192">
        <v>0</v>
      </c>
      <c r="K192">
        <v>0</v>
      </c>
      <c r="L192">
        <v>0</v>
      </c>
      <c r="M192">
        <v>0</v>
      </c>
      <c r="N192">
        <v>0</v>
      </c>
      <c r="O192">
        <v>0</v>
      </c>
      <c r="P192" s="5">
        <f t="shared" si="24"/>
        <v>0</v>
      </c>
      <c r="Q192">
        <f t="shared" si="25"/>
        <v>0</v>
      </c>
      <c r="R192">
        <f t="shared" si="26"/>
        <v>0</v>
      </c>
      <c r="S192">
        <f t="shared" si="27"/>
        <v>0</v>
      </c>
      <c r="T192">
        <f t="shared" si="28"/>
        <v>0</v>
      </c>
      <c r="U192">
        <f t="shared" si="29"/>
        <v>0</v>
      </c>
      <c r="V192">
        <f t="shared" si="30"/>
        <v>0</v>
      </c>
      <c r="W192">
        <f t="shared" si="31"/>
        <v>0</v>
      </c>
      <c r="X192">
        <f t="shared" si="32"/>
        <v>0</v>
      </c>
      <c r="Y192">
        <f t="shared" si="33"/>
        <v>0</v>
      </c>
      <c r="Z192">
        <f t="shared" si="34"/>
        <v>0</v>
      </c>
      <c r="AA192" t="str">
        <f>INDEX('Priority activities'!$D$5:$D$86,MATCH('Database for analysis'!C192,'Priority activities'!$C$5:$C$86,0))</f>
        <v>Adolescents and youth</v>
      </c>
    </row>
    <row r="193" spans="2:27" ht="16.5" thickTop="1" thickBot="1" x14ac:dyDescent="0.3">
      <c r="B193" t="s">
        <v>147</v>
      </c>
      <c r="C193" s="22" t="str">
        <f>'Costing inputs'!$C$125</f>
        <v>Peer educators/ Youth CBDs (D.3.1)</v>
      </c>
      <c r="D193" s="22" t="str">
        <f>'Costing inputs'!$U$125</f>
        <v>Districts</v>
      </c>
      <c r="E193" s="22">
        <f>'Regional splits'!$Q$14</f>
        <v>0</v>
      </c>
      <c r="F193">
        <v>0</v>
      </c>
      <c r="G193">
        <v>0</v>
      </c>
      <c r="H193">
        <v>0</v>
      </c>
      <c r="I193">
        <v>0</v>
      </c>
      <c r="J193">
        <v>0</v>
      </c>
      <c r="K193">
        <v>0</v>
      </c>
      <c r="L193">
        <v>0</v>
      </c>
      <c r="M193">
        <v>0</v>
      </c>
      <c r="N193">
        <v>0</v>
      </c>
      <c r="O193">
        <v>0</v>
      </c>
      <c r="P193" s="5">
        <f t="shared" si="24"/>
        <v>0</v>
      </c>
      <c r="Q193">
        <f t="shared" si="25"/>
        <v>0</v>
      </c>
      <c r="R193">
        <f t="shared" si="26"/>
        <v>0</v>
      </c>
      <c r="S193">
        <f t="shared" si="27"/>
        <v>0</v>
      </c>
      <c r="T193">
        <f t="shared" si="28"/>
        <v>0</v>
      </c>
      <c r="U193">
        <f t="shared" si="29"/>
        <v>0</v>
      </c>
      <c r="V193">
        <f t="shared" si="30"/>
        <v>0</v>
      </c>
      <c r="W193">
        <f t="shared" si="31"/>
        <v>0</v>
      </c>
      <c r="X193">
        <f t="shared" si="32"/>
        <v>0</v>
      </c>
      <c r="Y193">
        <f t="shared" si="33"/>
        <v>0</v>
      </c>
      <c r="Z193">
        <f t="shared" si="34"/>
        <v>0</v>
      </c>
      <c r="AA193" t="str">
        <f>INDEX('Priority activities'!$D$5:$D$86,MATCH('Database for analysis'!C193,'Priority activities'!$C$5:$C$86,0))</f>
        <v>Adolescents and youth</v>
      </c>
    </row>
    <row r="194" spans="2:27" ht="16.5" thickTop="1" thickBot="1" x14ac:dyDescent="0.3">
      <c r="B194" t="s">
        <v>147</v>
      </c>
      <c r="C194" s="22" t="str">
        <f>'Costing inputs'!$C$125</f>
        <v>Peer educators/ Youth CBDs (D.3.1)</v>
      </c>
      <c r="D194" s="22" t="str">
        <f>'Costing inputs'!$U$125</f>
        <v>Districts</v>
      </c>
      <c r="E194" s="22" t="str">
        <f>'Regional splits'!$R$14</f>
        <v>National-level</v>
      </c>
      <c r="F194">
        <v>0</v>
      </c>
      <c r="G194">
        <v>0</v>
      </c>
      <c r="H194">
        <v>0</v>
      </c>
      <c r="I194">
        <v>0</v>
      </c>
      <c r="J194">
        <v>0</v>
      </c>
      <c r="K194">
        <v>0</v>
      </c>
      <c r="L194">
        <v>0</v>
      </c>
      <c r="M194">
        <v>0</v>
      </c>
      <c r="N194">
        <v>0</v>
      </c>
      <c r="O194">
        <v>0</v>
      </c>
      <c r="P194" s="5">
        <f t="shared" si="24"/>
        <v>0</v>
      </c>
      <c r="Q194">
        <f t="shared" si="25"/>
        <v>0</v>
      </c>
      <c r="R194">
        <f t="shared" si="26"/>
        <v>0</v>
      </c>
      <c r="S194">
        <f t="shared" si="27"/>
        <v>0</v>
      </c>
      <c r="T194">
        <f t="shared" si="28"/>
        <v>0</v>
      </c>
      <c r="U194">
        <f t="shared" si="29"/>
        <v>0</v>
      </c>
      <c r="V194">
        <f t="shared" si="30"/>
        <v>0</v>
      </c>
      <c r="W194">
        <f t="shared" si="31"/>
        <v>0</v>
      </c>
      <c r="X194">
        <f t="shared" si="32"/>
        <v>0</v>
      </c>
      <c r="Y194">
        <f t="shared" si="33"/>
        <v>0</v>
      </c>
      <c r="Z194">
        <f t="shared" si="34"/>
        <v>0</v>
      </c>
      <c r="AA194" t="str">
        <f>INDEX('Priority activities'!$D$5:$D$86,MATCH('Database for analysis'!C194,'Priority activities'!$C$5:$C$86,0))</f>
        <v>Adolescents and youth</v>
      </c>
    </row>
    <row r="195" spans="2:27" ht="16.5" thickTop="1" thickBot="1" x14ac:dyDescent="0.3">
      <c r="B195" t="s">
        <v>147</v>
      </c>
      <c r="C195" s="22" t="str">
        <f>'Costing inputs'!$C$131</f>
        <v>ASRH/ AIDS clubs (D.3.1)</v>
      </c>
      <c r="D195" s="22" t="str">
        <f>'Costing inputs'!$U$131</f>
        <v>Districts</v>
      </c>
      <c r="E195" s="22" t="str">
        <f>'Regional splits'!$C$14</f>
        <v>Central</v>
      </c>
      <c r="F195">
        <f t="array" ref="F195:O210">'Costing inputs'!S131*'Costing inputs'!AP131:AY131*TRANSPOSE('Costing inputs'!W131:AL131)</f>
        <v>0</v>
      </c>
      <c r="G195">
        <v>3333.333333333333</v>
      </c>
      <c r="H195">
        <v>3333.333333333333</v>
      </c>
      <c r="I195">
        <v>3333.333333333333</v>
      </c>
      <c r="J195">
        <v>3333.333333333333</v>
      </c>
      <c r="K195">
        <v>3333.333333333333</v>
      </c>
      <c r="L195">
        <v>3333.333333333333</v>
      </c>
      <c r="M195">
        <v>3333.333333333333</v>
      </c>
      <c r="N195">
        <v>0</v>
      </c>
      <c r="O195">
        <v>0</v>
      </c>
      <c r="P195" s="5">
        <f t="shared" si="24"/>
        <v>23333.333333333328</v>
      </c>
      <c r="Q195">
        <f t="shared" si="25"/>
        <v>0</v>
      </c>
      <c r="R195">
        <f t="shared" si="26"/>
        <v>3333.333333333333</v>
      </c>
      <c r="S195">
        <f t="shared" si="27"/>
        <v>3333.333333333333</v>
      </c>
      <c r="T195">
        <f t="shared" si="28"/>
        <v>3333.333333333333</v>
      </c>
      <c r="U195">
        <f t="shared" si="29"/>
        <v>3333.333333333333</v>
      </c>
      <c r="V195">
        <f t="shared" si="30"/>
        <v>3333.333333333333</v>
      </c>
      <c r="W195">
        <f t="shared" si="31"/>
        <v>3333.333333333333</v>
      </c>
      <c r="X195">
        <f t="shared" si="32"/>
        <v>3333.333333333333</v>
      </c>
      <c r="Y195">
        <f t="shared" si="33"/>
        <v>0</v>
      </c>
      <c r="Z195">
        <f t="shared" si="34"/>
        <v>0</v>
      </c>
      <c r="AA195" t="str">
        <f>INDEX('Priority activities'!$D$5:$D$86,MATCH('Database for analysis'!C195,'Priority activities'!$C$5:$C$86,0))</f>
        <v>Adolescents and youth</v>
      </c>
    </row>
    <row r="196" spans="2:27" ht="16.5" thickTop="1" thickBot="1" x14ac:dyDescent="0.3">
      <c r="B196" t="s">
        <v>147</v>
      </c>
      <c r="C196" s="22" t="str">
        <f>'Costing inputs'!$C$131</f>
        <v>ASRH/ AIDS clubs (D.3.1)</v>
      </c>
      <c r="D196" s="22" t="str">
        <f>'Costing inputs'!$U$131</f>
        <v>Districts</v>
      </c>
      <c r="E196" s="22" t="str">
        <f>'Regional splits'!$D$14</f>
        <v>Copperbelt</v>
      </c>
      <c r="F196">
        <v>0</v>
      </c>
      <c r="G196">
        <v>5555.5555555555557</v>
      </c>
      <c r="H196">
        <v>5555.5555555555557</v>
      </c>
      <c r="I196">
        <v>5555.5555555555557</v>
      </c>
      <c r="J196">
        <v>5555.5555555555557</v>
      </c>
      <c r="K196">
        <v>5555.5555555555557</v>
      </c>
      <c r="L196">
        <v>5555.5555555555557</v>
      </c>
      <c r="M196">
        <v>5555.5555555555557</v>
      </c>
      <c r="N196">
        <v>0</v>
      </c>
      <c r="O196">
        <v>0</v>
      </c>
      <c r="P196" s="5">
        <f t="shared" ref="P196:P259" si="35">SUMIF(F196:O196,"&lt;&gt;#N/A")</f>
        <v>38888.888888888891</v>
      </c>
      <c r="Q196">
        <f t="shared" ref="Q196:Q259" si="36">IF(ISNA(F196),0,F196)</f>
        <v>0</v>
      </c>
      <c r="R196">
        <f t="shared" ref="R196:R259" si="37">IF(ISNA(G196),0,G196)</f>
        <v>5555.5555555555557</v>
      </c>
      <c r="S196">
        <f t="shared" ref="S196:S259" si="38">IF(ISNA(H196),0,H196)</f>
        <v>5555.5555555555557</v>
      </c>
      <c r="T196">
        <f t="shared" ref="T196:T259" si="39">IF(ISNA(I196),0,I196)</f>
        <v>5555.5555555555557</v>
      </c>
      <c r="U196">
        <f t="shared" ref="U196:U259" si="40">IF(ISNA(J196),0,J196)</f>
        <v>5555.5555555555557</v>
      </c>
      <c r="V196">
        <f t="shared" ref="V196:V259" si="41">IF(ISNA(K196),0,K196)</f>
        <v>5555.5555555555557</v>
      </c>
      <c r="W196">
        <f t="shared" ref="W196:W259" si="42">IF(ISNA(L196),0,L196)</f>
        <v>5555.5555555555557</v>
      </c>
      <c r="X196">
        <f t="shared" ref="X196:X259" si="43">IF(ISNA(M196),0,M196)</f>
        <v>5555.5555555555557</v>
      </c>
      <c r="Y196">
        <f t="shared" ref="Y196:Y259" si="44">IF(ISNA(N196),0,N196)</f>
        <v>0</v>
      </c>
      <c r="Z196">
        <f t="shared" ref="Z196:Z259" si="45">IF(ISNA(O196),0,O196)</f>
        <v>0</v>
      </c>
      <c r="AA196" t="str">
        <f>INDEX('Priority activities'!$D$5:$D$86,MATCH('Database for analysis'!C196,'Priority activities'!$C$5:$C$86,0))</f>
        <v>Adolescents and youth</v>
      </c>
    </row>
    <row r="197" spans="2:27" ht="16.5" thickTop="1" thickBot="1" x14ac:dyDescent="0.3">
      <c r="B197" t="s">
        <v>147</v>
      </c>
      <c r="C197" s="22" t="str">
        <f>'Costing inputs'!$C$131</f>
        <v>ASRH/ AIDS clubs (D.3.1)</v>
      </c>
      <c r="D197" s="22" t="str">
        <f>'Costing inputs'!$U$131</f>
        <v>Districts</v>
      </c>
      <c r="E197" s="22" t="str">
        <f>'Regional splits'!$E$14</f>
        <v>Eastern</v>
      </c>
      <c r="F197">
        <v>0</v>
      </c>
      <c r="G197">
        <v>3888.8888888888891</v>
      </c>
      <c r="H197">
        <v>3888.8888888888891</v>
      </c>
      <c r="I197">
        <v>3888.8888888888891</v>
      </c>
      <c r="J197">
        <v>3888.8888888888891</v>
      </c>
      <c r="K197">
        <v>3888.8888888888891</v>
      </c>
      <c r="L197">
        <v>3888.8888888888891</v>
      </c>
      <c r="M197">
        <v>3888.8888888888891</v>
      </c>
      <c r="N197">
        <v>0</v>
      </c>
      <c r="O197">
        <v>0</v>
      </c>
      <c r="P197" s="5">
        <f t="shared" si="35"/>
        <v>27222.222222222226</v>
      </c>
      <c r="Q197">
        <f t="shared" si="36"/>
        <v>0</v>
      </c>
      <c r="R197">
        <f t="shared" si="37"/>
        <v>3888.8888888888891</v>
      </c>
      <c r="S197">
        <f t="shared" si="38"/>
        <v>3888.8888888888891</v>
      </c>
      <c r="T197">
        <f t="shared" si="39"/>
        <v>3888.8888888888891</v>
      </c>
      <c r="U197">
        <f t="shared" si="40"/>
        <v>3888.8888888888891</v>
      </c>
      <c r="V197">
        <f t="shared" si="41"/>
        <v>3888.8888888888891</v>
      </c>
      <c r="W197">
        <f t="shared" si="42"/>
        <v>3888.8888888888891</v>
      </c>
      <c r="X197">
        <f t="shared" si="43"/>
        <v>3888.8888888888891</v>
      </c>
      <c r="Y197">
        <f t="shared" si="44"/>
        <v>0</v>
      </c>
      <c r="Z197">
        <f t="shared" si="45"/>
        <v>0</v>
      </c>
      <c r="AA197" t="str">
        <f>INDEX('Priority activities'!$D$5:$D$86,MATCH('Database for analysis'!C197,'Priority activities'!$C$5:$C$86,0))</f>
        <v>Adolescents and youth</v>
      </c>
    </row>
    <row r="198" spans="2:27" ht="16.5" thickTop="1" thickBot="1" x14ac:dyDescent="0.3">
      <c r="B198" t="s">
        <v>147</v>
      </c>
      <c r="C198" s="22" t="str">
        <f>'Costing inputs'!$C$131</f>
        <v>ASRH/ AIDS clubs (D.3.1)</v>
      </c>
      <c r="D198" s="22" t="str">
        <f>'Costing inputs'!$U$131</f>
        <v>Districts</v>
      </c>
      <c r="E198" s="22" t="str">
        <f>'Regional splits'!$F$14</f>
        <v>Luapula</v>
      </c>
      <c r="F198">
        <v>0</v>
      </c>
      <c r="G198">
        <v>3888.8888888888891</v>
      </c>
      <c r="H198">
        <v>3888.8888888888891</v>
      </c>
      <c r="I198">
        <v>3888.8888888888891</v>
      </c>
      <c r="J198">
        <v>3888.8888888888891</v>
      </c>
      <c r="K198">
        <v>3888.8888888888891</v>
      </c>
      <c r="L198">
        <v>3888.8888888888891</v>
      </c>
      <c r="M198">
        <v>3888.8888888888891</v>
      </c>
      <c r="N198">
        <v>0</v>
      </c>
      <c r="O198">
        <v>0</v>
      </c>
      <c r="P198" s="5">
        <f t="shared" si="35"/>
        <v>27222.222222222226</v>
      </c>
      <c r="Q198">
        <f t="shared" si="36"/>
        <v>0</v>
      </c>
      <c r="R198">
        <f t="shared" si="37"/>
        <v>3888.8888888888891</v>
      </c>
      <c r="S198">
        <f t="shared" si="38"/>
        <v>3888.8888888888891</v>
      </c>
      <c r="T198">
        <f t="shared" si="39"/>
        <v>3888.8888888888891</v>
      </c>
      <c r="U198">
        <f t="shared" si="40"/>
        <v>3888.8888888888891</v>
      </c>
      <c r="V198">
        <f t="shared" si="41"/>
        <v>3888.8888888888891</v>
      </c>
      <c r="W198">
        <f t="shared" si="42"/>
        <v>3888.8888888888891</v>
      </c>
      <c r="X198">
        <f t="shared" si="43"/>
        <v>3888.8888888888891</v>
      </c>
      <c r="Y198">
        <f t="shared" si="44"/>
        <v>0</v>
      </c>
      <c r="Z198">
        <f t="shared" si="45"/>
        <v>0</v>
      </c>
      <c r="AA198" t="str">
        <f>INDEX('Priority activities'!$D$5:$D$86,MATCH('Database for analysis'!C198,'Priority activities'!$C$5:$C$86,0))</f>
        <v>Adolescents and youth</v>
      </c>
    </row>
    <row r="199" spans="2:27" ht="16.5" thickTop="1" thickBot="1" x14ac:dyDescent="0.3">
      <c r="B199" t="s">
        <v>147</v>
      </c>
      <c r="C199" s="22" t="str">
        <f>'Costing inputs'!$C$131</f>
        <v>ASRH/ AIDS clubs (D.3.1)</v>
      </c>
      <c r="D199" s="22" t="str">
        <f>'Costing inputs'!$U$131</f>
        <v>Districts</v>
      </c>
      <c r="E199" s="22" t="str">
        <f>'Regional splits'!$G$14</f>
        <v>Lusaka</v>
      </c>
      <c r="F199">
        <v>0</v>
      </c>
      <c r="G199">
        <v>2222.2222222222222</v>
      </c>
      <c r="H199">
        <v>2222.2222222222222</v>
      </c>
      <c r="I199">
        <v>2222.2222222222222</v>
      </c>
      <c r="J199">
        <v>2222.2222222222222</v>
      </c>
      <c r="K199">
        <v>2222.2222222222222</v>
      </c>
      <c r="L199">
        <v>2222.2222222222222</v>
      </c>
      <c r="M199">
        <v>2222.2222222222222</v>
      </c>
      <c r="N199">
        <v>0</v>
      </c>
      <c r="O199">
        <v>0</v>
      </c>
      <c r="P199" s="5">
        <f t="shared" si="35"/>
        <v>15555.555555555557</v>
      </c>
      <c r="Q199">
        <f t="shared" si="36"/>
        <v>0</v>
      </c>
      <c r="R199">
        <f t="shared" si="37"/>
        <v>2222.2222222222222</v>
      </c>
      <c r="S199">
        <f t="shared" si="38"/>
        <v>2222.2222222222222</v>
      </c>
      <c r="T199">
        <f t="shared" si="39"/>
        <v>2222.2222222222222</v>
      </c>
      <c r="U199">
        <f t="shared" si="40"/>
        <v>2222.2222222222222</v>
      </c>
      <c r="V199">
        <f t="shared" si="41"/>
        <v>2222.2222222222222</v>
      </c>
      <c r="W199">
        <f t="shared" si="42"/>
        <v>2222.2222222222222</v>
      </c>
      <c r="X199">
        <f t="shared" si="43"/>
        <v>2222.2222222222222</v>
      </c>
      <c r="Y199">
        <f t="shared" si="44"/>
        <v>0</v>
      </c>
      <c r="Z199">
        <f t="shared" si="45"/>
        <v>0</v>
      </c>
      <c r="AA199" t="str">
        <f>INDEX('Priority activities'!$D$5:$D$86,MATCH('Database for analysis'!C199,'Priority activities'!$C$5:$C$86,0))</f>
        <v>Adolescents and youth</v>
      </c>
    </row>
    <row r="200" spans="2:27" ht="16.5" thickTop="1" thickBot="1" x14ac:dyDescent="0.3">
      <c r="B200" t="s">
        <v>147</v>
      </c>
      <c r="C200" s="22" t="str">
        <f>'Costing inputs'!$C$131</f>
        <v>ASRH/ AIDS clubs (D.3.1)</v>
      </c>
      <c r="D200" s="22" t="str">
        <f>'Costing inputs'!$U$131</f>
        <v>Districts</v>
      </c>
      <c r="E200" s="22" t="str">
        <f>'Regional splits'!$H$14</f>
        <v>Muchinga</v>
      </c>
      <c r="F200">
        <v>0</v>
      </c>
      <c r="G200">
        <v>2777.7777777777778</v>
      </c>
      <c r="H200">
        <v>2777.7777777777778</v>
      </c>
      <c r="I200">
        <v>2777.7777777777778</v>
      </c>
      <c r="J200">
        <v>2777.7777777777778</v>
      </c>
      <c r="K200">
        <v>2777.7777777777778</v>
      </c>
      <c r="L200">
        <v>2777.7777777777778</v>
      </c>
      <c r="M200">
        <v>2777.7777777777778</v>
      </c>
      <c r="N200">
        <v>0</v>
      </c>
      <c r="O200">
        <v>0</v>
      </c>
      <c r="P200" s="5">
        <f t="shared" si="35"/>
        <v>19444.444444444445</v>
      </c>
      <c r="Q200">
        <f t="shared" si="36"/>
        <v>0</v>
      </c>
      <c r="R200">
        <f t="shared" si="37"/>
        <v>2777.7777777777778</v>
      </c>
      <c r="S200">
        <f t="shared" si="38"/>
        <v>2777.7777777777778</v>
      </c>
      <c r="T200">
        <f t="shared" si="39"/>
        <v>2777.7777777777778</v>
      </c>
      <c r="U200">
        <f t="shared" si="40"/>
        <v>2777.7777777777778</v>
      </c>
      <c r="V200">
        <f t="shared" si="41"/>
        <v>2777.7777777777778</v>
      </c>
      <c r="W200">
        <f t="shared" si="42"/>
        <v>2777.7777777777778</v>
      </c>
      <c r="X200">
        <f t="shared" si="43"/>
        <v>2777.7777777777778</v>
      </c>
      <c r="Y200">
        <f t="shared" si="44"/>
        <v>0</v>
      </c>
      <c r="Z200">
        <f t="shared" si="45"/>
        <v>0</v>
      </c>
      <c r="AA200" t="str">
        <f>INDEX('Priority activities'!$D$5:$D$86,MATCH('Database for analysis'!C200,'Priority activities'!$C$5:$C$86,0))</f>
        <v>Adolescents and youth</v>
      </c>
    </row>
    <row r="201" spans="2:27" ht="16.5" thickTop="1" thickBot="1" x14ac:dyDescent="0.3">
      <c r="B201" t="s">
        <v>147</v>
      </c>
      <c r="C201" s="22" t="str">
        <f>'Costing inputs'!$C$131</f>
        <v>ASRH/ AIDS clubs (D.3.1)</v>
      </c>
      <c r="D201" s="22" t="str">
        <f>'Costing inputs'!$U$131</f>
        <v>Districts</v>
      </c>
      <c r="E201" s="22" t="str">
        <f>'Regional splits'!$I$14</f>
        <v>Northern</v>
      </c>
      <c r="F201">
        <v>0</v>
      </c>
      <c r="G201">
        <v>4444.4444444444443</v>
      </c>
      <c r="H201">
        <v>4444.4444444444443</v>
      </c>
      <c r="I201">
        <v>4444.4444444444443</v>
      </c>
      <c r="J201">
        <v>4444.4444444444443</v>
      </c>
      <c r="K201">
        <v>4444.4444444444443</v>
      </c>
      <c r="L201">
        <v>4444.4444444444443</v>
      </c>
      <c r="M201">
        <v>4444.4444444444443</v>
      </c>
      <c r="N201">
        <v>0</v>
      </c>
      <c r="O201">
        <v>0</v>
      </c>
      <c r="P201" s="5">
        <f t="shared" si="35"/>
        <v>31111.111111111113</v>
      </c>
      <c r="Q201">
        <f t="shared" si="36"/>
        <v>0</v>
      </c>
      <c r="R201">
        <f t="shared" si="37"/>
        <v>4444.4444444444443</v>
      </c>
      <c r="S201">
        <f t="shared" si="38"/>
        <v>4444.4444444444443</v>
      </c>
      <c r="T201">
        <f t="shared" si="39"/>
        <v>4444.4444444444443</v>
      </c>
      <c r="U201">
        <f t="shared" si="40"/>
        <v>4444.4444444444443</v>
      </c>
      <c r="V201">
        <f t="shared" si="41"/>
        <v>4444.4444444444443</v>
      </c>
      <c r="W201">
        <f t="shared" si="42"/>
        <v>4444.4444444444443</v>
      </c>
      <c r="X201">
        <f t="shared" si="43"/>
        <v>4444.4444444444443</v>
      </c>
      <c r="Y201">
        <f t="shared" si="44"/>
        <v>0</v>
      </c>
      <c r="Z201">
        <f t="shared" si="45"/>
        <v>0</v>
      </c>
      <c r="AA201" t="str">
        <f>INDEX('Priority activities'!$D$5:$D$86,MATCH('Database for analysis'!C201,'Priority activities'!$C$5:$C$86,0))</f>
        <v>Adolescents and youth</v>
      </c>
    </row>
    <row r="202" spans="2:27" ht="16.5" thickTop="1" thickBot="1" x14ac:dyDescent="0.3">
      <c r="B202" t="s">
        <v>147</v>
      </c>
      <c r="C202" s="22" t="str">
        <f>'Costing inputs'!$C$131</f>
        <v>ASRH/ AIDS clubs (D.3.1)</v>
      </c>
      <c r="D202" s="22" t="str">
        <f>'Costing inputs'!$U$131</f>
        <v>Districts</v>
      </c>
      <c r="E202" s="22" t="str">
        <f>'Regional splits'!$J$14</f>
        <v>North Western</v>
      </c>
      <c r="F202">
        <v>0</v>
      </c>
      <c r="G202">
        <v>3888.8888888888891</v>
      </c>
      <c r="H202">
        <v>3888.8888888888891</v>
      </c>
      <c r="I202">
        <v>3888.8888888888891</v>
      </c>
      <c r="J202">
        <v>3888.8888888888891</v>
      </c>
      <c r="K202">
        <v>3888.8888888888891</v>
      </c>
      <c r="L202">
        <v>3888.8888888888891</v>
      </c>
      <c r="M202">
        <v>3888.8888888888891</v>
      </c>
      <c r="N202">
        <v>0</v>
      </c>
      <c r="O202">
        <v>0</v>
      </c>
      <c r="P202" s="5">
        <f t="shared" si="35"/>
        <v>27222.222222222226</v>
      </c>
      <c r="Q202">
        <f t="shared" si="36"/>
        <v>0</v>
      </c>
      <c r="R202">
        <f t="shared" si="37"/>
        <v>3888.8888888888891</v>
      </c>
      <c r="S202">
        <f t="shared" si="38"/>
        <v>3888.8888888888891</v>
      </c>
      <c r="T202">
        <f t="shared" si="39"/>
        <v>3888.8888888888891</v>
      </c>
      <c r="U202">
        <f t="shared" si="40"/>
        <v>3888.8888888888891</v>
      </c>
      <c r="V202">
        <f t="shared" si="41"/>
        <v>3888.8888888888891</v>
      </c>
      <c r="W202">
        <f t="shared" si="42"/>
        <v>3888.8888888888891</v>
      </c>
      <c r="X202">
        <f t="shared" si="43"/>
        <v>3888.8888888888891</v>
      </c>
      <c r="Y202">
        <f t="shared" si="44"/>
        <v>0</v>
      </c>
      <c r="Z202">
        <f t="shared" si="45"/>
        <v>0</v>
      </c>
      <c r="AA202" t="str">
        <f>INDEX('Priority activities'!$D$5:$D$86,MATCH('Database for analysis'!C202,'Priority activities'!$C$5:$C$86,0))</f>
        <v>Adolescents and youth</v>
      </c>
    </row>
    <row r="203" spans="2:27" ht="16.5" thickTop="1" thickBot="1" x14ac:dyDescent="0.3">
      <c r="B203" t="s">
        <v>147</v>
      </c>
      <c r="C203" s="22" t="str">
        <f>'Costing inputs'!$C$131</f>
        <v>ASRH/ AIDS clubs (D.3.1)</v>
      </c>
      <c r="D203" s="22" t="str">
        <f>'Costing inputs'!$U$131</f>
        <v>Districts</v>
      </c>
      <c r="E203" s="22" t="str">
        <f>'Regional splits'!$K$14</f>
        <v>Southern</v>
      </c>
      <c r="F203">
        <v>0</v>
      </c>
      <c r="G203">
        <v>6111.1111111111113</v>
      </c>
      <c r="H203">
        <v>6111.1111111111113</v>
      </c>
      <c r="I203">
        <v>6111.1111111111113</v>
      </c>
      <c r="J203">
        <v>6111.1111111111113</v>
      </c>
      <c r="K203">
        <v>6111.1111111111113</v>
      </c>
      <c r="L203">
        <v>6111.1111111111113</v>
      </c>
      <c r="M203">
        <v>6111.1111111111113</v>
      </c>
      <c r="N203">
        <v>0</v>
      </c>
      <c r="O203">
        <v>0</v>
      </c>
      <c r="P203" s="5">
        <f t="shared" si="35"/>
        <v>42777.777777777774</v>
      </c>
      <c r="Q203">
        <f t="shared" si="36"/>
        <v>0</v>
      </c>
      <c r="R203">
        <f t="shared" si="37"/>
        <v>6111.1111111111113</v>
      </c>
      <c r="S203">
        <f t="shared" si="38"/>
        <v>6111.1111111111113</v>
      </c>
      <c r="T203">
        <f t="shared" si="39"/>
        <v>6111.1111111111113</v>
      </c>
      <c r="U203">
        <f t="shared" si="40"/>
        <v>6111.1111111111113</v>
      </c>
      <c r="V203">
        <f t="shared" si="41"/>
        <v>6111.1111111111113</v>
      </c>
      <c r="W203">
        <f t="shared" si="42"/>
        <v>6111.1111111111113</v>
      </c>
      <c r="X203">
        <f t="shared" si="43"/>
        <v>6111.1111111111113</v>
      </c>
      <c r="Y203">
        <f t="shared" si="44"/>
        <v>0</v>
      </c>
      <c r="Z203">
        <f t="shared" si="45"/>
        <v>0</v>
      </c>
      <c r="AA203" t="str">
        <f>INDEX('Priority activities'!$D$5:$D$86,MATCH('Database for analysis'!C203,'Priority activities'!$C$5:$C$86,0))</f>
        <v>Adolescents and youth</v>
      </c>
    </row>
    <row r="204" spans="2:27" ht="16.5" thickTop="1" thickBot="1" x14ac:dyDescent="0.3">
      <c r="B204" t="s">
        <v>147</v>
      </c>
      <c r="C204" s="22" t="str">
        <f>'Costing inputs'!$C$131</f>
        <v>ASRH/ AIDS clubs (D.3.1)</v>
      </c>
      <c r="D204" s="22" t="str">
        <f>'Costing inputs'!$U$131</f>
        <v>Districts</v>
      </c>
      <c r="E204" s="22" t="str">
        <f>'Regional splits'!$L$14</f>
        <v>Western</v>
      </c>
      <c r="F204">
        <v>0</v>
      </c>
      <c r="G204">
        <v>3888.8888888888891</v>
      </c>
      <c r="H204">
        <v>3888.8888888888891</v>
      </c>
      <c r="I204">
        <v>3888.8888888888891</v>
      </c>
      <c r="J204">
        <v>3888.8888888888891</v>
      </c>
      <c r="K204">
        <v>3888.8888888888891</v>
      </c>
      <c r="L204">
        <v>3888.8888888888891</v>
      </c>
      <c r="M204">
        <v>3888.8888888888891</v>
      </c>
      <c r="N204">
        <v>0</v>
      </c>
      <c r="O204">
        <v>0</v>
      </c>
      <c r="P204" s="5">
        <f t="shared" si="35"/>
        <v>27222.222222222226</v>
      </c>
      <c r="Q204">
        <f t="shared" si="36"/>
        <v>0</v>
      </c>
      <c r="R204">
        <f t="shared" si="37"/>
        <v>3888.8888888888891</v>
      </c>
      <c r="S204">
        <f t="shared" si="38"/>
        <v>3888.8888888888891</v>
      </c>
      <c r="T204">
        <f t="shared" si="39"/>
        <v>3888.8888888888891</v>
      </c>
      <c r="U204">
        <f t="shared" si="40"/>
        <v>3888.8888888888891</v>
      </c>
      <c r="V204">
        <f t="shared" si="41"/>
        <v>3888.8888888888891</v>
      </c>
      <c r="W204">
        <f t="shared" si="42"/>
        <v>3888.8888888888891</v>
      </c>
      <c r="X204">
        <f t="shared" si="43"/>
        <v>3888.8888888888891</v>
      </c>
      <c r="Y204">
        <f t="shared" si="44"/>
        <v>0</v>
      </c>
      <c r="Z204">
        <f t="shared" si="45"/>
        <v>0</v>
      </c>
      <c r="AA204" t="str">
        <f>INDEX('Priority activities'!$D$5:$D$86,MATCH('Database for analysis'!C204,'Priority activities'!$C$5:$C$86,0))</f>
        <v>Adolescents and youth</v>
      </c>
    </row>
    <row r="205" spans="2:27" ht="16.5" thickTop="1" thickBot="1" x14ac:dyDescent="0.3">
      <c r="B205" t="s">
        <v>147</v>
      </c>
      <c r="C205" s="22" t="str">
        <f>'Costing inputs'!$C$131</f>
        <v>ASRH/ AIDS clubs (D.3.1)</v>
      </c>
      <c r="D205" s="22" t="str">
        <f>'Costing inputs'!$U$131</f>
        <v>Districts</v>
      </c>
      <c r="E205" s="22">
        <f>'Regional splits'!$M$14</f>
        <v>0</v>
      </c>
      <c r="F205">
        <v>0</v>
      </c>
      <c r="G205">
        <v>0</v>
      </c>
      <c r="H205">
        <v>0</v>
      </c>
      <c r="I205">
        <v>0</v>
      </c>
      <c r="J205">
        <v>0</v>
      </c>
      <c r="K205">
        <v>0</v>
      </c>
      <c r="L205">
        <v>0</v>
      </c>
      <c r="M205">
        <v>0</v>
      </c>
      <c r="N205">
        <v>0</v>
      </c>
      <c r="O205">
        <v>0</v>
      </c>
      <c r="P205" s="5">
        <f t="shared" si="35"/>
        <v>0</v>
      </c>
      <c r="Q205">
        <f t="shared" si="36"/>
        <v>0</v>
      </c>
      <c r="R205">
        <f t="shared" si="37"/>
        <v>0</v>
      </c>
      <c r="S205">
        <f t="shared" si="38"/>
        <v>0</v>
      </c>
      <c r="T205">
        <f t="shared" si="39"/>
        <v>0</v>
      </c>
      <c r="U205">
        <f t="shared" si="40"/>
        <v>0</v>
      </c>
      <c r="V205">
        <f t="shared" si="41"/>
        <v>0</v>
      </c>
      <c r="W205">
        <f t="shared" si="42"/>
        <v>0</v>
      </c>
      <c r="X205">
        <f t="shared" si="43"/>
        <v>0</v>
      </c>
      <c r="Y205">
        <f t="shared" si="44"/>
        <v>0</v>
      </c>
      <c r="Z205">
        <f t="shared" si="45"/>
        <v>0</v>
      </c>
      <c r="AA205" t="str">
        <f>INDEX('Priority activities'!$D$5:$D$86,MATCH('Database for analysis'!C205,'Priority activities'!$C$5:$C$86,0))</f>
        <v>Adolescents and youth</v>
      </c>
    </row>
    <row r="206" spans="2:27" ht="16.5" thickTop="1" thickBot="1" x14ac:dyDescent="0.3">
      <c r="B206" t="s">
        <v>147</v>
      </c>
      <c r="C206" s="22" t="str">
        <f>'Costing inputs'!$C$131</f>
        <v>ASRH/ AIDS clubs (D.3.1)</v>
      </c>
      <c r="D206" s="22" t="str">
        <f>'Costing inputs'!$U$131</f>
        <v>Districts</v>
      </c>
      <c r="E206" s="22">
        <f>'Regional splits'!$N$14</f>
        <v>0</v>
      </c>
      <c r="F206">
        <v>0</v>
      </c>
      <c r="G206">
        <v>0</v>
      </c>
      <c r="H206">
        <v>0</v>
      </c>
      <c r="I206">
        <v>0</v>
      </c>
      <c r="J206">
        <v>0</v>
      </c>
      <c r="K206">
        <v>0</v>
      </c>
      <c r="L206">
        <v>0</v>
      </c>
      <c r="M206">
        <v>0</v>
      </c>
      <c r="N206">
        <v>0</v>
      </c>
      <c r="O206">
        <v>0</v>
      </c>
      <c r="P206" s="5">
        <f t="shared" si="35"/>
        <v>0</v>
      </c>
      <c r="Q206">
        <f t="shared" si="36"/>
        <v>0</v>
      </c>
      <c r="R206">
        <f t="shared" si="37"/>
        <v>0</v>
      </c>
      <c r="S206">
        <f t="shared" si="38"/>
        <v>0</v>
      </c>
      <c r="T206">
        <f t="shared" si="39"/>
        <v>0</v>
      </c>
      <c r="U206">
        <f t="shared" si="40"/>
        <v>0</v>
      </c>
      <c r="V206">
        <f t="shared" si="41"/>
        <v>0</v>
      </c>
      <c r="W206">
        <f t="shared" si="42"/>
        <v>0</v>
      </c>
      <c r="X206">
        <f t="shared" si="43"/>
        <v>0</v>
      </c>
      <c r="Y206">
        <f t="shared" si="44"/>
        <v>0</v>
      </c>
      <c r="Z206">
        <f t="shared" si="45"/>
        <v>0</v>
      </c>
      <c r="AA206" t="str">
        <f>INDEX('Priority activities'!$D$5:$D$86,MATCH('Database for analysis'!C206,'Priority activities'!$C$5:$C$86,0))</f>
        <v>Adolescents and youth</v>
      </c>
    </row>
    <row r="207" spans="2:27" ht="16.5" thickTop="1" thickBot="1" x14ac:dyDescent="0.3">
      <c r="B207" t="s">
        <v>147</v>
      </c>
      <c r="C207" s="22" t="str">
        <f>'Costing inputs'!$C$131</f>
        <v>ASRH/ AIDS clubs (D.3.1)</v>
      </c>
      <c r="D207" s="22" t="str">
        <f>'Costing inputs'!$U$131</f>
        <v>Districts</v>
      </c>
      <c r="E207" s="22">
        <f>'Regional splits'!$O$14</f>
        <v>0</v>
      </c>
      <c r="F207">
        <v>0</v>
      </c>
      <c r="G207">
        <v>0</v>
      </c>
      <c r="H207">
        <v>0</v>
      </c>
      <c r="I207">
        <v>0</v>
      </c>
      <c r="J207">
        <v>0</v>
      </c>
      <c r="K207">
        <v>0</v>
      </c>
      <c r="L207">
        <v>0</v>
      </c>
      <c r="M207">
        <v>0</v>
      </c>
      <c r="N207">
        <v>0</v>
      </c>
      <c r="O207">
        <v>0</v>
      </c>
      <c r="P207" s="5">
        <f t="shared" si="35"/>
        <v>0</v>
      </c>
      <c r="Q207">
        <f t="shared" si="36"/>
        <v>0</v>
      </c>
      <c r="R207">
        <f t="shared" si="37"/>
        <v>0</v>
      </c>
      <c r="S207">
        <f t="shared" si="38"/>
        <v>0</v>
      </c>
      <c r="T207">
        <f t="shared" si="39"/>
        <v>0</v>
      </c>
      <c r="U207">
        <f t="shared" si="40"/>
        <v>0</v>
      </c>
      <c r="V207">
        <f t="shared" si="41"/>
        <v>0</v>
      </c>
      <c r="W207">
        <f t="shared" si="42"/>
        <v>0</v>
      </c>
      <c r="X207">
        <f t="shared" si="43"/>
        <v>0</v>
      </c>
      <c r="Y207">
        <f t="shared" si="44"/>
        <v>0</v>
      </c>
      <c r="Z207">
        <f t="shared" si="45"/>
        <v>0</v>
      </c>
      <c r="AA207" t="str">
        <f>INDEX('Priority activities'!$D$5:$D$86,MATCH('Database for analysis'!C207,'Priority activities'!$C$5:$C$86,0))</f>
        <v>Adolescents and youth</v>
      </c>
    </row>
    <row r="208" spans="2:27" ht="16.5" thickTop="1" thickBot="1" x14ac:dyDescent="0.3">
      <c r="B208" t="s">
        <v>147</v>
      </c>
      <c r="C208" s="22" t="str">
        <f>'Costing inputs'!$C$131</f>
        <v>ASRH/ AIDS clubs (D.3.1)</v>
      </c>
      <c r="D208" s="22" t="str">
        <f>'Costing inputs'!$U$131</f>
        <v>Districts</v>
      </c>
      <c r="E208" s="22">
        <f>'Regional splits'!$P$14</f>
        <v>0</v>
      </c>
      <c r="F208">
        <v>0</v>
      </c>
      <c r="G208">
        <v>0</v>
      </c>
      <c r="H208">
        <v>0</v>
      </c>
      <c r="I208">
        <v>0</v>
      </c>
      <c r="J208">
        <v>0</v>
      </c>
      <c r="K208">
        <v>0</v>
      </c>
      <c r="L208">
        <v>0</v>
      </c>
      <c r="M208">
        <v>0</v>
      </c>
      <c r="N208">
        <v>0</v>
      </c>
      <c r="O208">
        <v>0</v>
      </c>
      <c r="P208" s="5">
        <f t="shared" si="35"/>
        <v>0</v>
      </c>
      <c r="Q208">
        <f t="shared" si="36"/>
        <v>0</v>
      </c>
      <c r="R208">
        <f t="shared" si="37"/>
        <v>0</v>
      </c>
      <c r="S208">
        <f t="shared" si="38"/>
        <v>0</v>
      </c>
      <c r="T208">
        <f t="shared" si="39"/>
        <v>0</v>
      </c>
      <c r="U208">
        <f t="shared" si="40"/>
        <v>0</v>
      </c>
      <c r="V208">
        <f t="shared" si="41"/>
        <v>0</v>
      </c>
      <c r="W208">
        <f t="shared" si="42"/>
        <v>0</v>
      </c>
      <c r="X208">
        <f t="shared" si="43"/>
        <v>0</v>
      </c>
      <c r="Y208">
        <f t="shared" si="44"/>
        <v>0</v>
      </c>
      <c r="Z208">
        <f t="shared" si="45"/>
        <v>0</v>
      </c>
      <c r="AA208" t="str">
        <f>INDEX('Priority activities'!$D$5:$D$86,MATCH('Database for analysis'!C208,'Priority activities'!$C$5:$C$86,0))</f>
        <v>Adolescents and youth</v>
      </c>
    </row>
    <row r="209" spans="2:27" ht="16.5" thickTop="1" thickBot="1" x14ac:dyDescent="0.3">
      <c r="B209" t="s">
        <v>147</v>
      </c>
      <c r="C209" s="22" t="str">
        <f>'Costing inputs'!$C$131</f>
        <v>ASRH/ AIDS clubs (D.3.1)</v>
      </c>
      <c r="D209" s="22" t="str">
        <f>'Costing inputs'!$U$131</f>
        <v>Districts</v>
      </c>
      <c r="E209" s="22">
        <f>'Regional splits'!$Q$14</f>
        <v>0</v>
      </c>
      <c r="F209">
        <v>0</v>
      </c>
      <c r="G209">
        <v>0</v>
      </c>
      <c r="H209">
        <v>0</v>
      </c>
      <c r="I209">
        <v>0</v>
      </c>
      <c r="J209">
        <v>0</v>
      </c>
      <c r="K209">
        <v>0</v>
      </c>
      <c r="L209">
        <v>0</v>
      </c>
      <c r="M209">
        <v>0</v>
      </c>
      <c r="N209">
        <v>0</v>
      </c>
      <c r="O209">
        <v>0</v>
      </c>
      <c r="P209" s="5">
        <f t="shared" si="35"/>
        <v>0</v>
      </c>
      <c r="Q209">
        <f t="shared" si="36"/>
        <v>0</v>
      </c>
      <c r="R209">
        <f t="shared" si="37"/>
        <v>0</v>
      </c>
      <c r="S209">
        <f t="shared" si="38"/>
        <v>0</v>
      </c>
      <c r="T209">
        <f t="shared" si="39"/>
        <v>0</v>
      </c>
      <c r="U209">
        <f t="shared" si="40"/>
        <v>0</v>
      </c>
      <c r="V209">
        <f t="shared" si="41"/>
        <v>0</v>
      </c>
      <c r="W209">
        <f t="shared" si="42"/>
        <v>0</v>
      </c>
      <c r="X209">
        <f t="shared" si="43"/>
        <v>0</v>
      </c>
      <c r="Y209">
        <f t="shared" si="44"/>
        <v>0</v>
      </c>
      <c r="Z209">
        <f t="shared" si="45"/>
        <v>0</v>
      </c>
      <c r="AA209" t="str">
        <f>INDEX('Priority activities'!$D$5:$D$86,MATCH('Database for analysis'!C209,'Priority activities'!$C$5:$C$86,0))</f>
        <v>Adolescents and youth</v>
      </c>
    </row>
    <row r="210" spans="2:27" ht="16.5" thickTop="1" thickBot="1" x14ac:dyDescent="0.3">
      <c r="B210" t="s">
        <v>147</v>
      </c>
      <c r="C210" s="22" t="str">
        <f>'Costing inputs'!$C$131</f>
        <v>ASRH/ AIDS clubs (D.3.1)</v>
      </c>
      <c r="D210" s="22" t="str">
        <f>'Costing inputs'!$U$131</f>
        <v>Districts</v>
      </c>
      <c r="E210" s="22" t="str">
        <f>'Regional splits'!$R$14</f>
        <v>National-level</v>
      </c>
      <c r="F210">
        <v>0</v>
      </c>
      <c r="G210">
        <v>0</v>
      </c>
      <c r="H210">
        <v>0</v>
      </c>
      <c r="I210">
        <v>0</v>
      </c>
      <c r="J210">
        <v>0</v>
      </c>
      <c r="K210">
        <v>0</v>
      </c>
      <c r="L210">
        <v>0</v>
      </c>
      <c r="M210">
        <v>0</v>
      </c>
      <c r="N210">
        <v>0</v>
      </c>
      <c r="O210">
        <v>0</v>
      </c>
      <c r="P210" s="5">
        <f t="shared" si="35"/>
        <v>0</v>
      </c>
      <c r="Q210">
        <f t="shared" si="36"/>
        <v>0</v>
      </c>
      <c r="R210">
        <f t="shared" si="37"/>
        <v>0</v>
      </c>
      <c r="S210">
        <f t="shared" si="38"/>
        <v>0</v>
      </c>
      <c r="T210">
        <f t="shared" si="39"/>
        <v>0</v>
      </c>
      <c r="U210">
        <f t="shared" si="40"/>
        <v>0</v>
      </c>
      <c r="V210">
        <f t="shared" si="41"/>
        <v>0</v>
      </c>
      <c r="W210">
        <f t="shared" si="42"/>
        <v>0</v>
      </c>
      <c r="X210">
        <f t="shared" si="43"/>
        <v>0</v>
      </c>
      <c r="Y210">
        <f t="shared" si="44"/>
        <v>0</v>
      </c>
      <c r="Z210">
        <f t="shared" si="45"/>
        <v>0</v>
      </c>
      <c r="AA210" t="str">
        <f>INDEX('Priority activities'!$D$5:$D$86,MATCH('Database for analysis'!C210,'Priority activities'!$C$5:$C$86,0))</f>
        <v>Adolescents and youth</v>
      </c>
    </row>
    <row r="211" spans="2:27" ht="16.5" thickTop="1" thickBot="1" x14ac:dyDescent="0.3">
      <c r="B211" t="s">
        <v>147</v>
      </c>
      <c r="C211" s="22" t="str">
        <f>'Costing inputs'!$C$135</f>
        <v>Training teachers to train existing AIDS clubs (D.3.1)</v>
      </c>
      <c r="D211" s="22" t="str">
        <f>'Costing inputs'!$U$135</f>
        <v>Central level</v>
      </c>
      <c r="E211" s="22" t="str">
        <f>'Regional splits'!$C$14</f>
        <v>Central</v>
      </c>
      <c r="F211">
        <f t="array" ref="F211:O226">'Costing inputs'!S135*'Costing inputs'!AP135:AY135*TRANSPOSE('Costing inputs'!W135:AL135)</f>
        <v>0</v>
      </c>
      <c r="G211">
        <v>0</v>
      </c>
      <c r="H211">
        <v>0</v>
      </c>
      <c r="I211">
        <v>0</v>
      </c>
      <c r="J211">
        <v>0</v>
      </c>
      <c r="K211">
        <v>0</v>
      </c>
      <c r="L211">
        <v>0</v>
      </c>
      <c r="M211">
        <v>0</v>
      </c>
      <c r="N211">
        <v>0</v>
      </c>
      <c r="O211">
        <v>0</v>
      </c>
      <c r="P211" s="5">
        <f t="shared" si="35"/>
        <v>0</v>
      </c>
      <c r="Q211">
        <f t="shared" si="36"/>
        <v>0</v>
      </c>
      <c r="R211">
        <f t="shared" si="37"/>
        <v>0</v>
      </c>
      <c r="S211">
        <f t="shared" si="38"/>
        <v>0</v>
      </c>
      <c r="T211">
        <f t="shared" si="39"/>
        <v>0</v>
      </c>
      <c r="U211">
        <f t="shared" si="40"/>
        <v>0</v>
      </c>
      <c r="V211">
        <f t="shared" si="41"/>
        <v>0</v>
      </c>
      <c r="W211">
        <f t="shared" si="42"/>
        <v>0</v>
      </c>
      <c r="X211">
        <f t="shared" si="43"/>
        <v>0</v>
      </c>
      <c r="Y211">
        <f t="shared" si="44"/>
        <v>0</v>
      </c>
      <c r="Z211">
        <f t="shared" si="45"/>
        <v>0</v>
      </c>
      <c r="AA211" t="str">
        <f>INDEX('Priority activities'!$D$5:$D$86,MATCH('Database for analysis'!C211,'Priority activities'!$C$5:$C$86,0))</f>
        <v>Adolescents and youth</v>
      </c>
    </row>
    <row r="212" spans="2:27" ht="16.5" thickTop="1" thickBot="1" x14ac:dyDescent="0.3">
      <c r="B212" t="s">
        <v>147</v>
      </c>
      <c r="C212" s="22" t="str">
        <f>'Costing inputs'!$C$135</f>
        <v>Training teachers to train existing AIDS clubs (D.3.1)</v>
      </c>
      <c r="D212" s="22" t="str">
        <f>'Costing inputs'!$U$135</f>
        <v>Central level</v>
      </c>
      <c r="E212" s="22" t="str">
        <f>'Regional splits'!$D$14</f>
        <v>Copperbelt</v>
      </c>
      <c r="F212">
        <v>0</v>
      </c>
      <c r="G212">
        <v>0</v>
      </c>
      <c r="H212">
        <v>0</v>
      </c>
      <c r="I212">
        <v>0</v>
      </c>
      <c r="J212">
        <v>0</v>
      </c>
      <c r="K212">
        <v>0</v>
      </c>
      <c r="L212">
        <v>0</v>
      </c>
      <c r="M212">
        <v>0</v>
      </c>
      <c r="N212">
        <v>0</v>
      </c>
      <c r="O212">
        <v>0</v>
      </c>
      <c r="P212" s="5">
        <f t="shared" si="35"/>
        <v>0</v>
      </c>
      <c r="Q212">
        <f t="shared" si="36"/>
        <v>0</v>
      </c>
      <c r="R212">
        <f t="shared" si="37"/>
        <v>0</v>
      </c>
      <c r="S212">
        <f t="shared" si="38"/>
        <v>0</v>
      </c>
      <c r="T212">
        <f t="shared" si="39"/>
        <v>0</v>
      </c>
      <c r="U212">
        <f t="shared" si="40"/>
        <v>0</v>
      </c>
      <c r="V212">
        <f t="shared" si="41"/>
        <v>0</v>
      </c>
      <c r="W212">
        <f t="shared" si="42"/>
        <v>0</v>
      </c>
      <c r="X212">
        <f t="shared" si="43"/>
        <v>0</v>
      </c>
      <c r="Y212">
        <f t="shared" si="44"/>
        <v>0</v>
      </c>
      <c r="Z212">
        <f t="shared" si="45"/>
        <v>0</v>
      </c>
      <c r="AA212" t="str">
        <f>INDEX('Priority activities'!$D$5:$D$86,MATCH('Database for analysis'!C212,'Priority activities'!$C$5:$C$86,0))</f>
        <v>Adolescents and youth</v>
      </c>
    </row>
    <row r="213" spans="2:27" ht="16.5" thickTop="1" thickBot="1" x14ac:dyDescent="0.3">
      <c r="B213" t="s">
        <v>147</v>
      </c>
      <c r="C213" s="22" t="str">
        <f>'Costing inputs'!$C$135</f>
        <v>Training teachers to train existing AIDS clubs (D.3.1)</v>
      </c>
      <c r="D213" s="22" t="str">
        <f>'Costing inputs'!$U$135</f>
        <v>Central level</v>
      </c>
      <c r="E213" s="22" t="str">
        <f>'Regional splits'!$E$14</f>
        <v>Eastern</v>
      </c>
      <c r="F213">
        <v>0</v>
      </c>
      <c r="G213">
        <v>0</v>
      </c>
      <c r="H213">
        <v>0</v>
      </c>
      <c r="I213">
        <v>0</v>
      </c>
      <c r="J213">
        <v>0</v>
      </c>
      <c r="K213">
        <v>0</v>
      </c>
      <c r="L213">
        <v>0</v>
      </c>
      <c r="M213">
        <v>0</v>
      </c>
      <c r="N213">
        <v>0</v>
      </c>
      <c r="O213">
        <v>0</v>
      </c>
      <c r="P213" s="5">
        <f t="shared" si="35"/>
        <v>0</v>
      </c>
      <c r="Q213">
        <f t="shared" si="36"/>
        <v>0</v>
      </c>
      <c r="R213">
        <f t="shared" si="37"/>
        <v>0</v>
      </c>
      <c r="S213">
        <f t="shared" si="38"/>
        <v>0</v>
      </c>
      <c r="T213">
        <f t="shared" si="39"/>
        <v>0</v>
      </c>
      <c r="U213">
        <f t="shared" si="40"/>
        <v>0</v>
      </c>
      <c r="V213">
        <f t="shared" si="41"/>
        <v>0</v>
      </c>
      <c r="W213">
        <f t="shared" si="42"/>
        <v>0</v>
      </c>
      <c r="X213">
        <f t="shared" si="43"/>
        <v>0</v>
      </c>
      <c r="Y213">
        <f t="shared" si="44"/>
        <v>0</v>
      </c>
      <c r="Z213">
        <f t="shared" si="45"/>
        <v>0</v>
      </c>
      <c r="AA213" t="str">
        <f>INDEX('Priority activities'!$D$5:$D$86,MATCH('Database for analysis'!C213,'Priority activities'!$C$5:$C$86,0))</f>
        <v>Adolescents and youth</v>
      </c>
    </row>
    <row r="214" spans="2:27" ht="16.5" thickTop="1" thickBot="1" x14ac:dyDescent="0.3">
      <c r="B214" t="s">
        <v>147</v>
      </c>
      <c r="C214" s="22" t="str">
        <f>'Costing inputs'!$C$135</f>
        <v>Training teachers to train existing AIDS clubs (D.3.1)</v>
      </c>
      <c r="D214" s="22" t="str">
        <f>'Costing inputs'!$U$135</f>
        <v>Central level</v>
      </c>
      <c r="E214" s="22" t="str">
        <f>'Regional splits'!$F$14</f>
        <v>Luapula</v>
      </c>
      <c r="F214">
        <v>0</v>
      </c>
      <c r="G214">
        <v>0</v>
      </c>
      <c r="H214">
        <v>0</v>
      </c>
      <c r="I214">
        <v>0</v>
      </c>
      <c r="J214">
        <v>0</v>
      </c>
      <c r="K214">
        <v>0</v>
      </c>
      <c r="L214">
        <v>0</v>
      </c>
      <c r="M214">
        <v>0</v>
      </c>
      <c r="N214">
        <v>0</v>
      </c>
      <c r="O214">
        <v>0</v>
      </c>
      <c r="P214" s="5">
        <f t="shared" si="35"/>
        <v>0</v>
      </c>
      <c r="Q214">
        <f t="shared" si="36"/>
        <v>0</v>
      </c>
      <c r="R214">
        <f t="shared" si="37"/>
        <v>0</v>
      </c>
      <c r="S214">
        <f t="shared" si="38"/>
        <v>0</v>
      </c>
      <c r="T214">
        <f t="shared" si="39"/>
        <v>0</v>
      </c>
      <c r="U214">
        <f t="shared" si="40"/>
        <v>0</v>
      </c>
      <c r="V214">
        <f t="shared" si="41"/>
        <v>0</v>
      </c>
      <c r="W214">
        <f t="shared" si="42"/>
        <v>0</v>
      </c>
      <c r="X214">
        <f t="shared" si="43"/>
        <v>0</v>
      </c>
      <c r="Y214">
        <f t="shared" si="44"/>
        <v>0</v>
      </c>
      <c r="Z214">
        <f t="shared" si="45"/>
        <v>0</v>
      </c>
      <c r="AA214" t="str">
        <f>INDEX('Priority activities'!$D$5:$D$86,MATCH('Database for analysis'!C214,'Priority activities'!$C$5:$C$86,0))</f>
        <v>Adolescents and youth</v>
      </c>
    </row>
    <row r="215" spans="2:27" ht="16.5" thickTop="1" thickBot="1" x14ac:dyDescent="0.3">
      <c r="B215" t="s">
        <v>147</v>
      </c>
      <c r="C215" s="22" t="str">
        <f>'Costing inputs'!$C$135</f>
        <v>Training teachers to train existing AIDS clubs (D.3.1)</v>
      </c>
      <c r="D215" s="22" t="str">
        <f>'Costing inputs'!$U$135</f>
        <v>Central level</v>
      </c>
      <c r="E215" s="22" t="str">
        <f>'Regional splits'!$G$14</f>
        <v>Lusaka</v>
      </c>
      <c r="F215">
        <v>0</v>
      </c>
      <c r="G215">
        <v>0</v>
      </c>
      <c r="H215">
        <v>0</v>
      </c>
      <c r="I215">
        <v>0</v>
      </c>
      <c r="J215">
        <v>0</v>
      </c>
      <c r="K215">
        <v>0</v>
      </c>
      <c r="L215">
        <v>0</v>
      </c>
      <c r="M215">
        <v>0</v>
      </c>
      <c r="N215">
        <v>0</v>
      </c>
      <c r="O215">
        <v>0</v>
      </c>
      <c r="P215" s="5">
        <f t="shared" si="35"/>
        <v>0</v>
      </c>
      <c r="Q215">
        <f t="shared" si="36"/>
        <v>0</v>
      </c>
      <c r="R215">
        <f t="shared" si="37"/>
        <v>0</v>
      </c>
      <c r="S215">
        <f t="shared" si="38"/>
        <v>0</v>
      </c>
      <c r="T215">
        <f t="shared" si="39"/>
        <v>0</v>
      </c>
      <c r="U215">
        <f t="shared" si="40"/>
        <v>0</v>
      </c>
      <c r="V215">
        <f t="shared" si="41"/>
        <v>0</v>
      </c>
      <c r="W215">
        <f t="shared" si="42"/>
        <v>0</v>
      </c>
      <c r="X215">
        <f t="shared" si="43"/>
        <v>0</v>
      </c>
      <c r="Y215">
        <f t="shared" si="44"/>
        <v>0</v>
      </c>
      <c r="Z215">
        <f t="shared" si="45"/>
        <v>0</v>
      </c>
      <c r="AA215" t="str">
        <f>INDEX('Priority activities'!$D$5:$D$86,MATCH('Database for analysis'!C215,'Priority activities'!$C$5:$C$86,0))</f>
        <v>Adolescents and youth</v>
      </c>
    </row>
    <row r="216" spans="2:27" ht="16.5" thickTop="1" thickBot="1" x14ac:dyDescent="0.3">
      <c r="B216" t="s">
        <v>147</v>
      </c>
      <c r="C216" s="22" t="str">
        <f>'Costing inputs'!$C$135</f>
        <v>Training teachers to train existing AIDS clubs (D.3.1)</v>
      </c>
      <c r="D216" s="22" t="str">
        <f>'Costing inputs'!$U$135</f>
        <v>Central level</v>
      </c>
      <c r="E216" s="22" t="str">
        <f>'Regional splits'!$H$14</f>
        <v>Muchinga</v>
      </c>
      <c r="F216">
        <v>0</v>
      </c>
      <c r="G216">
        <v>0</v>
      </c>
      <c r="H216">
        <v>0</v>
      </c>
      <c r="I216">
        <v>0</v>
      </c>
      <c r="J216">
        <v>0</v>
      </c>
      <c r="K216">
        <v>0</v>
      </c>
      <c r="L216">
        <v>0</v>
      </c>
      <c r="M216">
        <v>0</v>
      </c>
      <c r="N216">
        <v>0</v>
      </c>
      <c r="O216">
        <v>0</v>
      </c>
      <c r="P216" s="5">
        <f t="shared" si="35"/>
        <v>0</v>
      </c>
      <c r="Q216">
        <f t="shared" si="36"/>
        <v>0</v>
      </c>
      <c r="R216">
        <f t="shared" si="37"/>
        <v>0</v>
      </c>
      <c r="S216">
        <f t="shared" si="38"/>
        <v>0</v>
      </c>
      <c r="T216">
        <f t="shared" si="39"/>
        <v>0</v>
      </c>
      <c r="U216">
        <f t="shared" si="40"/>
        <v>0</v>
      </c>
      <c r="V216">
        <f t="shared" si="41"/>
        <v>0</v>
      </c>
      <c r="W216">
        <f t="shared" si="42"/>
        <v>0</v>
      </c>
      <c r="X216">
        <f t="shared" si="43"/>
        <v>0</v>
      </c>
      <c r="Y216">
        <f t="shared" si="44"/>
        <v>0</v>
      </c>
      <c r="Z216">
        <f t="shared" si="45"/>
        <v>0</v>
      </c>
      <c r="AA216" t="str">
        <f>INDEX('Priority activities'!$D$5:$D$86,MATCH('Database for analysis'!C216,'Priority activities'!$C$5:$C$86,0))</f>
        <v>Adolescents and youth</v>
      </c>
    </row>
    <row r="217" spans="2:27" ht="16.5" thickTop="1" thickBot="1" x14ac:dyDescent="0.3">
      <c r="B217" t="s">
        <v>147</v>
      </c>
      <c r="C217" s="22" t="str">
        <f>'Costing inputs'!$C$135</f>
        <v>Training teachers to train existing AIDS clubs (D.3.1)</v>
      </c>
      <c r="D217" s="22" t="str">
        <f>'Costing inputs'!$U$135</f>
        <v>Central level</v>
      </c>
      <c r="E217" s="22" t="str">
        <f>'Regional splits'!$I$14</f>
        <v>Northern</v>
      </c>
      <c r="F217">
        <v>0</v>
      </c>
      <c r="G217">
        <v>0</v>
      </c>
      <c r="H217">
        <v>0</v>
      </c>
      <c r="I217">
        <v>0</v>
      </c>
      <c r="J217">
        <v>0</v>
      </c>
      <c r="K217">
        <v>0</v>
      </c>
      <c r="L217">
        <v>0</v>
      </c>
      <c r="M217">
        <v>0</v>
      </c>
      <c r="N217">
        <v>0</v>
      </c>
      <c r="O217">
        <v>0</v>
      </c>
      <c r="P217" s="5">
        <f t="shared" si="35"/>
        <v>0</v>
      </c>
      <c r="Q217">
        <f t="shared" si="36"/>
        <v>0</v>
      </c>
      <c r="R217">
        <f t="shared" si="37"/>
        <v>0</v>
      </c>
      <c r="S217">
        <f t="shared" si="38"/>
        <v>0</v>
      </c>
      <c r="T217">
        <f t="shared" si="39"/>
        <v>0</v>
      </c>
      <c r="U217">
        <f t="shared" si="40"/>
        <v>0</v>
      </c>
      <c r="V217">
        <f t="shared" si="41"/>
        <v>0</v>
      </c>
      <c r="W217">
        <f t="shared" si="42"/>
        <v>0</v>
      </c>
      <c r="X217">
        <f t="shared" si="43"/>
        <v>0</v>
      </c>
      <c r="Y217">
        <f t="shared" si="44"/>
        <v>0</v>
      </c>
      <c r="Z217">
        <f t="shared" si="45"/>
        <v>0</v>
      </c>
      <c r="AA217" t="str">
        <f>INDEX('Priority activities'!$D$5:$D$86,MATCH('Database for analysis'!C217,'Priority activities'!$C$5:$C$86,0))</f>
        <v>Adolescents and youth</v>
      </c>
    </row>
    <row r="218" spans="2:27" ht="16.5" thickTop="1" thickBot="1" x14ac:dyDescent="0.3">
      <c r="B218" t="s">
        <v>147</v>
      </c>
      <c r="C218" s="22" t="str">
        <f>'Costing inputs'!$C$135</f>
        <v>Training teachers to train existing AIDS clubs (D.3.1)</v>
      </c>
      <c r="D218" s="22" t="str">
        <f>'Costing inputs'!$U$135</f>
        <v>Central level</v>
      </c>
      <c r="E218" s="22" t="str">
        <f>'Regional splits'!$J$14</f>
        <v>North Western</v>
      </c>
      <c r="F218">
        <v>0</v>
      </c>
      <c r="G218">
        <v>0</v>
      </c>
      <c r="H218">
        <v>0</v>
      </c>
      <c r="I218">
        <v>0</v>
      </c>
      <c r="J218">
        <v>0</v>
      </c>
      <c r="K218">
        <v>0</v>
      </c>
      <c r="L218">
        <v>0</v>
      </c>
      <c r="M218">
        <v>0</v>
      </c>
      <c r="N218">
        <v>0</v>
      </c>
      <c r="O218">
        <v>0</v>
      </c>
      <c r="P218" s="5">
        <f t="shared" si="35"/>
        <v>0</v>
      </c>
      <c r="Q218">
        <f t="shared" si="36"/>
        <v>0</v>
      </c>
      <c r="R218">
        <f t="shared" si="37"/>
        <v>0</v>
      </c>
      <c r="S218">
        <f t="shared" si="38"/>
        <v>0</v>
      </c>
      <c r="T218">
        <f t="shared" si="39"/>
        <v>0</v>
      </c>
      <c r="U218">
        <f t="shared" si="40"/>
        <v>0</v>
      </c>
      <c r="V218">
        <f t="shared" si="41"/>
        <v>0</v>
      </c>
      <c r="W218">
        <f t="shared" si="42"/>
        <v>0</v>
      </c>
      <c r="X218">
        <f t="shared" si="43"/>
        <v>0</v>
      </c>
      <c r="Y218">
        <f t="shared" si="44"/>
        <v>0</v>
      </c>
      <c r="Z218">
        <f t="shared" si="45"/>
        <v>0</v>
      </c>
      <c r="AA218" t="str">
        <f>INDEX('Priority activities'!$D$5:$D$86,MATCH('Database for analysis'!C218,'Priority activities'!$C$5:$C$86,0))</f>
        <v>Adolescents and youth</v>
      </c>
    </row>
    <row r="219" spans="2:27" ht="16.5" thickTop="1" thickBot="1" x14ac:dyDescent="0.3">
      <c r="B219" t="s">
        <v>147</v>
      </c>
      <c r="C219" s="22" t="str">
        <f>'Costing inputs'!$C$135</f>
        <v>Training teachers to train existing AIDS clubs (D.3.1)</v>
      </c>
      <c r="D219" s="22" t="str">
        <f>'Costing inputs'!$U$135</f>
        <v>Central level</v>
      </c>
      <c r="E219" s="22" t="str">
        <f>'Regional splits'!$K$14</f>
        <v>Southern</v>
      </c>
      <c r="F219">
        <v>0</v>
      </c>
      <c r="G219">
        <v>0</v>
      </c>
      <c r="H219">
        <v>0</v>
      </c>
      <c r="I219">
        <v>0</v>
      </c>
      <c r="J219">
        <v>0</v>
      </c>
      <c r="K219">
        <v>0</v>
      </c>
      <c r="L219">
        <v>0</v>
      </c>
      <c r="M219">
        <v>0</v>
      </c>
      <c r="N219">
        <v>0</v>
      </c>
      <c r="O219">
        <v>0</v>
      </c>
      <c r="P219" s="5">
        <f t="shared" si="35"/>
        <v>0</v>
      </c>
      <c r="Q219">
        <f t="shared" si="36"/>
        <v>0</v>
      </c>
      <c r="R219">
        <f t="shared" si="37"/>
        <v>0</v>
      </c>
      <c r="S219">
        <f t="shared" si="38"/>
        <v>0</v>
      </c>
      <c r="T219">
        <f t="shared" si="39"/>
        <v>0</v>
      </c>
      <c r="U219">
        <f t="shared" si="40"/>
        <v>0</v>
      </c>
      <c r="V219">
        <f t="shared" si="41"/>
        <v>0</v>
      </c>
      <c r="W219">
        <f t="shared" si="42"/>
        <v>0</v>
      </c>
      <c r="X219">
        <f t="shared" si="43"/>
        <v>0</v>
      </c>
      <c r="Y219">
        <f t="shared" si="44"/>
        <v>0</v>
      </c>
      <c r="Z219">
        <f t="shared" si="45"/>
        <v>0</v>
      </c>
      <c r="AA219" t="str">
        <f>INDEX('Priority activities'!$D$5:$D$86,MATCH('Database for analysis'!C219,'Priority activities'!$C$5:$C$86,0))</f>
        <v>Adolescents and youth</v>
      </c>
    </row>
    <row r="220" spans="2:27" ht="16.5" thickTop="1" thickBot="1" x14ac:dyDescent="0.3">
      <c r="B220" t="s">
        <v>147</v>
      </c>
      <c r="C220" s="22" t="str">
        <f>'Costing inputs'!$C$135</f>
        <v>Training teachers to train existing AIDS clubs (D.3.1)</v>
      </c>
      <c r="D220" s="22" t="str">
        <f>'Costing inputs'!$U$135</f>
        <v>Central level</v>
      </c>
      <c r="E220" s="22" t="str">
        <f>'Regional splits'!$L$14</f>
        <v>Western</v>
      </c>
      <c r="F220">
        <v>0</v>
      </c>
      <c r="G220">
        <v>0</v>
      </c>
      <c r="H220">
        <v>0</v>
      </c>
      <c r="I220">
        <v>0</v>
      </c>
      <c r="J220">
        <v>0</v>
      </c>
      <c r="K220">
        <v>0</v>
      </c>
      <c r="L220">
        <v>0</v>
      </c>
      <c r="M220">
        <v>0</v>
      </c>
      <c r="N220">
        <v>0</v>
      </c>
      <c r="O220">
        <v>0</v>
      </c>
      <c r="P220" s="5">
        <f t="shared" si="35"/>
        <v>0</v>
      </c>
      <c r="Q220">
        <f t="shared" si="36"/>
        <v>0</v>
      </c>
      <c r="R220">
        <f t="shared" si="37"/>
        <v>0</v>
      </c>
      <c r="S220">
        <f t="shared" si="38"/>
        <v>0</v>
      </c>
      <c r="T220">
        <f t="shared" si="39"/>
        <v>0</v>
      </c>
      <c r="U220">
        <f t="shared" si="40"/>
        <v>0</v>
      </c>
      <c r="V220">
        <f t="shared" si="41"/>
        <v>0</v>
      </c>
      <c r="W220">
        <f t="shared" si="42"/>
        <v>0</v>
      </c>
      <c r="X220">
        <f t="shared" si="43"/>
        <v>0</v>
      </c>
      <c r="Y220">
        <f t="shared" si="44"/>
        <v>0</v>
      </c>
      <c r="Z220">
        <f t="shared" si="45"/>
        <v>0</v>
      </c>
      <c r="AA220" t="str">
        <f>INDEX('Priority activities'!$D$5:$D$86,MATCH('Database for analysis'!C220,'Priority activities'!$C$5:$C$86,0))</f>
        <v>Adolescents and youth</v>
      </c>
    </row>
    <row r="221" spans="2:27" ht="16.5" thickTop="1" thickBot="1" x14ac:dyDescent="0.3">
      <c r="B221" t="s">
        <v>147</v>
      </c>
      <c r="C221" s="22" t="str">
        <f>'Costing inputs'!$C$135</f>
        <v>Training teachers to train existing AIDS clubs (D.3.1)</v>
      </c>
      <c r="D221" s="22" t="str">
        <f>'Costing inputs'!$U$135</f>
        <v>Central level</v>
      </c>
      <c r="E221" s="22">
        <f>'Regional splits'!$M$14</f>
        <v>0</v>
      </c>
      <c r="F221">
        <v>0</v>
      </c>
      <c r="G221">
        <v>0</v>
      </c>
      <c r="H221">
        <v>0</v>
      </c>
      <c r="I221">
        <v>0</v>
      </c>
      <c r="J221">
        <v>0</v>
      </c>
      <c r="K221">
        <v>0</v>
      </c>
      <c r="L221">
        <v>0</v>
      </c>
      <c r="M221">
        <v>0</v>
      </c>
      <c r="N221">
        <v>0</v>
      </c>
      <c r="O221">
        <v>0</v>
      </c>
      <c r="P221" s="5">
        <f t="shared" si="35"/>
        <v>0</v>
      </c>
      <c r="Q221">
        <f t="shared" si="36"/>
        <v>0</v>
      </c>
      <c r="R221">
        <f t="shared" si="37"/>
        <v>0</v>
      </c>
      <c r="S221">
        <f t="shared" si="38"/>
        <v>0</v>
      </c>
      <c r="T221">
        <f t="shared" si="39"/>
        <v>0</v>
      </c>
      <c r="U221">
        <f t="shared" si="40"/>
        <v>0</v>
      </c>
      <c r="V221">
        <f t="shared" si="41"/>
        <v>0</v>
      </c>
      <c r="W221">
        <f t="shared" si="42"/>
        <v>0</v>
      </c>
      <c r="X221">
        <f t="shared" si="43"/>
        <v>0</v>
      </c>
      <c r="Y221">
        <f t="shared" si="44"/>
        <v>0</v>
      </c>
      <c r="Z221">
        <f t="shared" si="45"/>
        <v>0</v>
      </c>
      <c r="AA221" t="str">
        <f>INDEX('Priority activities'!$D$5:$D$86,MATCH('Database for analysis'!C221,'Priority activities'!$C$5:$C$86,0))</f>
        <v>Adolescents and youth</v>
      </c>
    </row>
    <row r="222" spans="2:27" ht="16.5" thickTop="1" thickBot="1" x14ac:dyDescent="0.3">
      <c r="B222" t="s">
        <v>147</v>
      </c>
      <c r="C222" s="22" t="str">
        <f>'Costing inputs'!$C$135</f>
        <v>Training teachers to train existing AIDS clubs (D.3.1)</v>
      </c>
      <c r="D222" s="22" t="str">
        <f>'Costing inputs'!$U$135</f>
        <v>Central level</v>
      </c>
      <c r="E222" s="22">
        <f>'Regional splits'!$N$14</f>
        <v>0</v>
      </c>
      <c r="F222">
        <v>0</v>
      </c>
      <c r="G222">
        <v>0</v>
      </c>
      <c r="H222">
        <v>0</v>
      </c>
      <c r="I222">
        <v>0</v>
      </c>
      <c r="J222">
        <v>0</v>
      </c>
      <c r="K222">
        <v>0</v>
      </c>
      <c r="L222">
        <v>0</v>
      </c>
      <c r="M222">
        <v>0</v>
      </c>
      <c r="N222">
        <v>0</v>
      </c>
      <c r="O222">
        <v>0</v>
      </c>
      <c r="P222" s="5">
        <f t="shared" si="35"/>
        <v>0</v>
      </c>
      <c r="Q222">
        <f t="shared" si="36"/>
        <v>0</v>
      </c>
      <c r="R222">
        <f t="shared" si="37"/>
        <v>0</v>
      </c>
      <c r="S222">
        <f t="shared" si="38"/>
        <v>0</v>
      </c>
      <c r="T222">
        <f t="shared" si="39"/>
        <v>0</v>
      </c>
      <c r="U222">
        <f t="shared" si="40"/>
        <v>0</v>
      </c>
      <c r="V222">
        <f t="shared" si="41"/>
        <v>0</v>
      </c>
      <c r="W222">
        <f t="shared" si="42"/>
        <v>0</v>
      </c>
      <c r="X222">
        <f t="shared" si="43"/>
        <v>0</v>
      </c>
      <c r="Y222">
        <f t="shared" si="44"/>
        <v>0</v>
      </c>
      <c r="Z222">
        <f t="shared" si="45"/>
        <v>0</v>
      </c>
      <c r="AA222" t="str">
        <f>INDEX('Priority activities'!$D$5:$D$86,MATCH('Database for analysis'!C222,'Priority activities'!$C$5:$C$86,0))</f>
        <v>Adolescents and youth</v>
      </c>
    </row>
    <row r="223" spans="2:27" ht="16.5" thickTop="1" thickBot="1" x14ac:dyDescent="0.3">
      <c r="B223" t="s">
        <v>147</v>
      </c>
      <c r="C223" s="22" t="str">
        <f>'Costing inputs'!$C$135</f>
        <v>Training teachers to train existing AIDS clubs (D.3.1)</v>
      </c>
      <c r="D223" s="22" t="str">
        <f>'Costing inputs'!$U$135</f>
        <v>Central level</v>
      </c>
      <c r="E223" s="22">
        <f>'Regional splits'!$O$14</f>
        <v>0</v>
      </c>
      <c r="F223">
        <v>0</v>
      </c>
      <c r="G223">
        <v>0</v>
      </c>
      <c r="H223">
        <v>0</v>
      </c>
      <c r="I223">
        <v>0</v>
      </c>
      <c r="J223">
        <v>0</v>
      </c>
      <c r="K223">
        <v>0</v>
      </c>
      <c r="L223">
        <v>0</v>
      </c>
      <c r="M223">
        <v>0</v>
      </c>
      <c r="N223">
        <v>0</v>
      </c>
      <c r="O223">
        <v>0</v>
      </c>
      <c r="P223" s="5">
        <f t="shared" si="35"/>
        <v>0</v>
      </c>
      <c r="Q223">
        <f t="shared" si="36"/>
        <v>0</v>
      </c>
      <c r="R223">
        <f t="shared" si="37"/>
        <v>0</v>
      </c>
      <c r="S223">
        <f t="shared" si="38"/>
        <v>0</v>
      </c>
      <c r="T223">
        <f t="shared" si="39"/>
        <v>0</v>
      </c>
      <c r="U223">
        <f t="shared" si="40"/>
        <v>0</v>
      </c>
      <c r="V223">
        <f t="shared" si="41"/>
        <v>0</v>
      </c>
      <c r="W223">
        <f t="shared" si="42"/>
        <v>0</v>
      </c>
      <c r="X223">
        <f t="shared" si="43"/>
        <v>0</v>
      </c>
      <c r="Y223">
        <f t="shared" si="44"/>
        <v>0</v>
      </c>
      <c r="Z223">
        <f t="shared" si="45"/>
        <v>0</v>
      </c>
      <c r="AA223" t="str">
        <f>INDEX('Priority activities'!$D$5:$D$86,MATCH('Database for analysis'!C223,'Priority activities'!$C$5:$C$86,0))</f>
        <v>Adolescents and youth</v>
      </c>
    </row>
    <row r="224" spans="2:27" ht="16.5" thickTop="1" thickBot="1" x14ac:dyDescent="0.3">
      <c r="B224" t="s">
        <v>147</v>
      </c>
      <c r="C224" s="22" t="str">
        <f>'Costing inputs'!$C$135</f>
        <v>Training teachers to train existing AIDS clubs (D.3.1)</v>
      </c>
      <c r="D224" s="22" t="str">
        <f>'Costing inputs'!$U$135</f>
        <v>Central level</v>
      </c>
      <c r="E224" s="22">
        <f>'Regional splits'!$P$14</f>
        <v>0</v>
      </c>
      <c r="F224">
        <v>0</v>
      </c>
      <c r="G224">
        <v>0</v>
      </c>
      <c r="H224">
        <v>0</v>
      </c>
      <c r="I224">
        <v>0</v>
      </c>
      <c r="J224">
        <v>0</v>
      </c>
      <c r="K224">
        <v>0</v>
      </c>
      <c r="L224">
        <v>0</v>
      </c>
      <c r="M224">
        <v>0</v>
      </c>
      <c r="N224">
        <v>0</v>
      </c>
      <c r="O224">
        <v>0</v>
      </c>
      <c r="P224" s="5">
        <f t="shared" si="35"/>
        <v>0</v>
      </c>
      <c r="Q224">
        <f t="shared" si="36"/>
        <v>0</v>
      </c>
      <c r="R224">
        <f t="shared" si="37"/>
        <v>0</v>
      </c>
      <c r="S224">
        <f t="shared" si="38"/>
        <v>0</v>
      </c>
      <c r="T224">
        <f t="shared" si="39"/>
        <v>0</v>
      </c>
      <c r="U224">
        <f t="shared" si="40"/>
        <v>0</v>
      </c>
      <c r="V224">
        <f t="shared" si="41"/>
        <v>0</v>
      </c>
      <c r="W224">
        <f t="shared" si="42"/>
        <v>0</v>
      </c>
      <c r="X224">
        <f t="shared" si="43"/>
        <v>0</v>
      </c>
      <c r="Y224">
        <f t="shared" si="44"/>
        <v>0</v>
      </c>
      <c r="Z224">
        <f t="shared" si="45"/>
        <v>0</v>
      </c>
      <c r="AA224" t="str">
        <f>INDEX('Priority activities'!$D$5:$D$86,MATCH('Database for analysis'!C224,'Priority activities'!$C$5:$C$86,0))</f>
        <v>Adolescents and youth</v>
      </c>
    </row>
    <row r="225" spans="2:27" ht="16.5" thickTop="1" thickBot="1" x14ac:dyDescent="0.3">
      <c r="B225" t="s">
        <v>147</v>
      </c>
      <c r="C225" s="22" t="str">
        <f>'Costing inputs'!$C$135</f>
        <v>Training teachers to train existing AIDS clubs (D.3.1)</v>
      </c>
      <c r="D225" s="22" t="str">
        <f>'Costing inputs'!$U$135</f>
        <v>Central level</v>
      </c>
      <c r="E225" s="22">
        <f>'Regional splits'!$Q$14</f>
        <v>0</v>
      </c>
      <c r="F225">
        <v>0</v>
      </c>
      <c r="G225">
        <v>0</v>
      </c>
      <c r="H225">
        <v>0</v>
      </c>
      <c r="I225">
        <v>0</v>
      </c>
      <c r="J225">
        <v>0</v>
      </c>
      <c r="K225">
        <v>0</v>
      </c>
      <c r="L225">
        <v>0</v>
      </c>
      <c r="M225">
        <v>0</v>
      </c>
      <c r="N225">
        <v>0</v>
      </c>
      <c r="O225">
        <v>0</v>
      </c>
      <c r="P225" s="5">
        <f t="shared" si="35"/>
        <v>0</v>
      </c>
      <c r="Q225">
        <f t="shared" si="36"/>
        <v>0</v>
      </c>
      <c r="R225">
        <f t="shared" si="37"/>
        <v>0</v>
      </c>
      <c r="S225">
        <f t="shared" si="38"/>
        <v>0</v>
      </c>
      <c r="T225">
        <f t="shared" si="39"/>
        <v>0</v>
      </c>
      <c r="U225">
        <f t="shared" si="40"/>
        <v>0</v>
      </c>
      <c r="V225">
        <f t="shared" si="41"/>
        <v>0</v>
      </c>
      <c r="W225">
        <f t="shared" si="42"/>
        <v>0</v>
      </c>
      <c r="X225">
        <f t="shared" si="43"/>
        <v>0</v>
      </c>
      <c r="Y225">
        <f t="shared" si="44"/>
        <v>0</v>
      </c>
      <c r="Z225">
        <f t="shared" si="45"/>
        <v>0</v>
      </c>
      <c r="AA225" t="str">
        <f>INDEX('Priority activities'!$D$5:$D$86,MATCH('Database for analysis'!C225,'Priority activities'!$C$5:$C$86,0))</f>
        <v>Adolescents and youth</v>
      </c>
    </row>
    <row r="226" spans="2:27" ht="16.5" thickTop="1" thickBot="1" x14ac:dyDescent="0.3">
      <c r="B226" t="s">
        <v>147</v>
      </c>
      <c r="C226" s="22" t="str">
        <f>'Costing inputs'!$C$135</f>
        <v>Training teachers to train existing AIDS clubs (D.3.1)</v>
      </c>
      <c r="D226" s="22" t="str">
        <f>'Costing inputs'!$U$135</f>
        <v>Central level</v>
      </c>
      <c r="E226" s="22" t="str">
        <f>'Regional splits'!$R$14</f>
        <v>National-level</v>
      </c>
      <c r="F226">
        <v>0</v>
      </c>
      <c r="G226">
        <v>265428.19199999998</v>
      </c>
      <c r="H226">
        <v>265428.19199999998</v>
      </c>
      <c r="I226">
        <v>265428.19199999998</v>
      </c>
      <c r="J226">
        <v>0</v>
      </c>
      <c r="K226">
        <v>0</v>
      </c>
      <c r="L226">
        <v>0</v>
      </c>
      <c r="M226">
        <v>0</v>
      </c>
      <c r="N226">
        <v>0</v>
      </c>
      <c r="O226">
        <v>0</v>
      </c>
      <c r="P226" s="5">
        <f t="shared" si="35"/>
        <v>796284.57599999988</v>
      </c>
      <c r="Q226">
        <f t="shared" si="36"/>
        <v>0</v>
      </c>
      <c r="R226">
        <f t="shared" si="37"/>
        <v>265428.19199999998</v>
      </c>
      <c r="S226">
        <f t="shared" si="38"/>
        <v>265428.19199999998</v>
      </c>
      <c r="T226">
        <f t="shared" si="39"/>
        <v>265428.19199999998</v>
      </c>
      <c r="U226">
        <f t="shared" si="40"/>
        <v>0</v>
      </c>
      <c r="V226">
        <f t="shared" si="41"/>
        <v>0</v>
      </c>
      <c r="W226">
        <f t="shared" si="42"/>
        <v>0</v>
      </c>
      <c r="X226">
        <f t="shared" si="43"/>
        <v>0</v>
      </c>
      <c r="Y226">
        <f t="shared" si="44"/>
        <v>0</v>
      </c>
      <c r="Z226">
        <f t="shared" si="45"/>
        <v>0</v>
      </c>
      <c r="AA226" t="str">
        <f>INDEX('Priority activities'!$D$5:$D$86,MATCH('Database for analysis'!C226,'Priority activities'!$C$5:$C$86,0))</f>
        <v>Adolescents and youth</v>
      </c>
    </row>
    <row r="227" spans="2:27" ht="16.5" thickTop="1" thickBot="1" x14ac:dyDescent="0.3">
      <c r="B227" t="s">
        <v>147</v>
      </c>
      <c r="C227" s="22" t="str">
        <f>'Costing inputs'!$C$139</f>
        <v>ASRH/ AIDS clubs guidelines and identification meeting (D3.1)</v>
      </c>
      <c r="D227" s="22" t="str">
        <f>'Costing inputs'!$U$139</f>
        <v>Central level</v>
      </c>
      <c r="E227" s="22" t="str">
        <f>'Regional splits'!$C$14</f>
        <v>Central</v>
      </c>
      <c r="F227">
        <f t="array" ref="F227:O242">'Costing inputs'!S139*'Costing inputs'!AP139:AY139*TRANSPOSE('Costing inputs'!W139:AL139)</f>
        <v>0</v>
      </c>
      <c r="G227">
        <v>0</v>
      </c>
      <c r="H227">
        <v>0</v>
      </c>
      <c r="I227">
        <v>0</v>
      </c>
      <c r="J227">
        <v>0</v>
      </c>
      <c r="K227">
        <v>0</v>
      </c>
      <c r="L227">
        <v>0</v>
      </c>
      <c r="M227">
        <v>0</v>
      </c>
      <c r="N227">
        <v>0</v>
      </c>
      <c r="O227">
        <v>0</v>
      </c>
      <c r="P227" s="5">
        <f t="shared" si="35"/>
        <v>0</v>
      </c>
      <c r="Q227">
        <f t="shared" si="36"/>
        <v>0</v>
      </c>
      <c r="R227">
        <f t="shared" si="37"/>
        <v>0</v>
      </c>
      <c r="S227">
        <f t="shared" si="38"/>
        <v>0</v>
      </c>
      <c r="T227">
        <f t="shared" si="39"/>
        <v>0</v>
      </c>
      <c r="U227">
        <f t="shared" si="40"/>
        <v>0</v>
      </c>
      <c r="V227">
        <f t="shared" si="41"/>
        <v>0</v>
      </c>
      <c r="W227">
        <f t="shared" si="42"/>
        <v>0</v>
      </c>
      <c r="X227">
        <f t="shared" si="43"/>
        <v>0</v>
      </c>
      <c r="Y227">
        <f t="shared" si="44"/>
        <v>0</v>
      </c>
      <c r="Z227">
        <f t="shared" si="45"/>
        <v>0</v>
      </c>
      <c r="AA227" t="str">
        <f>INDEX('Priority activities'!$D$5:$D$86,MATCH('Database for analysis'!C227,'Priority activities'!$C$5:$C$86,0))</f>
        <v>Adolescents and youth</v>
      </c>
    </row>
    <row r="228" spans="2:27" ht="16.5" thickTop="1" thickBot="1" x14ac:dyDescent="0.3">
      <c r="B228" t="s">
        <v>147</v>
      </c>
      <c r="C228" s="22" t="str">
        <f>'Costing inputs'!$C$139</f>
        <v>ASRH/ AIDS clubs guidelines and identification meeting (D3.1)</v>
      </c>
      <c r="D228" s="22" t="str">
        <f>'Costing inputs'!$U$139</f>
        <v>Central level</v>
      </c>
      <c r="E228" s="22" t="str">
        <f>'Regional splits'!$D$14</f>
        <v>Copperbelt</v>
      </c>
      <c r="F228">
        <v>0</v>
      </c>
      <c r="G228">
        <v>0</v>
      </c>
      <c r="H228">
        <v>0</v>
      </c>
      <c r="I228">
        <v>0</v>
      </c>
      <c r="J228">
        <v>0</v>
      </c>
      <c r="K228">
        <v>0</v>
      </c>
      <c r="L228">
        <v>0</v>
      </c>
      <c r="M228">
        <v>0</v>
      </c>
      <c r="N228">
        <v>0</v>
      </c>
      <c r="O228">
        <v>0</v>
      </c>
      <c r="P228" s="5">
        <f t="shared" si="35"/>
        <v>0</v>
      </c>
      <c r="Q228">
        <f t="shared" si="36"/>
        <v>0</v>
      </c>
      <c r="R228">
        <f t="shared" si="37"/>
        <v>0</v>
      </c>
      <c r="S228">
        <f t="shared" si="38"/>
        <v>0</v>
      </c>
      <c r="T228">
        <f t="shared" si="39"/>
        <v>0</v>
      </c>
      <c r="U228">
        <f t="shared" si="40"/>
        <v>0</v>
      </c>
      <c r="V228">
        <f t="shared" si="41"/>
        <v>0</v>
      </c>
      <c r="W228">
        <f t="shared" si="42"/>
        <v>0</v>
      </c>
      <c r="X228">
        <f t="shared" si="43"/>
        <v>0</v>
      </c>
      <c r="Y228">
        <f t="shared" si="44"/>
        <v>0</v>
      </c>
      <c r="Z228">
        <f t="shared" si="45"/>
        <v>0</v>
      </c>
      <c r="AA228" t="str">
        <f>INDEX('Priority activities'!$D$5:$D$86,MATCH('Database for analysis'!C228,'Priority activities'!$C$5:$C$86,0))</f>
        <v>Adolescents and youth</v>
      </c>
    </row>
    <row r="229" spans="2:27" ht="16.5" thickTop="1" thickBot="1" x14ac:dyDescent="0.3">
      <c r="B229" t="s">
        <v>147</v>
      </c>
      <c r="C229" s="22" t="str">
        <f>'Costing inputs'!$C$139</f>
        <v>ASRH/ AIDS clubs guidelines and identification meeting (D3.1)</v>
      </c>
      <c r="D229" s="22" t="str">
        <f>'Costing inputs'!$U$139</f>
        <v>Central level</v>
      </c>
      <c r="E229" s="22" t="str">
        <f>'Regional splits'!$E$14</f>
        <v>Eastern</v>
      </c>
      <c r="F229">
        <v>0</v>
      </c>
      <c r="G229">
        <v>0</v>
      </c>
      <c r="H229">
        <v>0</v>
      </c>
      <c r="I229">
        <v>0</v>
      </c>
      <c r="J229">
        <v>0</v>
      </c>
      <c r="K229">
        <v>0</v>
      </c>
      <c r="L229">
        <v>0</v>
      </c>
      <c r="M229">
        <v>0</v>
      </c>
      <c r="N229">
        <v>0</v>
      </c>
      <c r="O229">
        <v>0</v>
      </c>
      <c r="P229" s="5">
        <f t="shared" si="35"/>
        <v>0</v>
      </c>
      <c r="Q229">
        <f t="shared" si="36"/>
        <v>0</v>
      </c>
      <c r="R229">
        <f t="shared" si="37"/>
        <v>0</v>
      </c>
      <c r="S229">
        <f t="shared" si="38"/>
        <v>0</v>
      </c>
      <c r="T229">
        <f t="shared" si="39"/>
        <v>0</v>
      </c>
      <c r="U229">
        <f t="shared" si="40"/>
        <v>0</v>
      </c>
      <c r="V229">
        <f t="shared" si="41"/>
        <v>0</v>
      </c>
      <c r="W229">
        <f t="shared" si="42"/>
        <v>0</v>
      </c>
      <c r="X229">
        <f t="shared" si="43"/>
        <v>0</v>
      </c>
      <c r="Y229">
        <f t="shared" si="44"/>
        <v>0</v>
      </c>
      <c r="Z229">
        <f t="shared" si="45"/>
        <v>0</v>
      </c>
      <c r="AA229" t="str">
        <f>INDEX('Priority activities'!$D$5:$D$86,MATCH('Database for analysis'!C229,'Priority activities'!$C$5:$C$86,0))</f>
        <v>Adolescents and youth</v>
      </c>
    </row>
    <row r="230" spans="2:27" ht="16.5" thickTop="1" thickBot="1" x14ac:dyDescent="0.3">
      <c r="B230" t="s">
        <v>147</v>
      </c>
      <c r="C230" s="22" t="str">
        <f>'Costing inputs'!$C$139</f>
        <v>ASRH/ AIDS clubs guidelines and identification meeting (D3.1)</v>
      </c>
      <c r="D230" s="22" t="str">
        <f>'Costing inputs'!$U$139</f>
        <v>Central level</v>
      </c>
      <c r="E230" s="22" t="str">
        <f>'Regional splits'!$F$14</f>
        <v>Luapula</v>
      </c>
      <c r="F230">
        <v>0</v>
      </c>
      <c r="G230">
        <v>0</v>
      </c>
      <c r="H230">
        <v>0</v>
      </c>
      <c r="I230">
        <v>0</v>
      </c>
      <c r="J230">
        <v>0</v>
      </c>
      <c r="K230">
        <v>0</v>
      </c>
      <c r="L230">
        <v>0</v>
      </c>
      <c r="M230">
        <v>0</v>
      </c>
      <c r="N230">
        <v>0</v>
      </c>
      <c r="O230">
        <v>0</v>
      </c>
      <c r="P230" s="5">
        <f t="shared" si="35"/>
        <v>0</v>
      </c>
      <c r="Q230">
        <f t="shared" si="36"/>
        <v>0</v>
      </c>
      <c r="R230">
        <f t="shared" si="37"/>
        <v>0</v>
      </c>
      <c r="S230">
        <f t="shared" si="38"/>
        <v>0</v>
      </c>
      <c r="T230">
        <f t="shared" si="39"/>
        <v>0</v>
      </c>
      <c r="U230">
        <f t="shared" si="40"/>
        <v>0</v>
      </c>
      <c r="V230">
        <f t="shared" si="41"/>
        <v>0</v>
      </c>
      <c r="W230">
        <f t="shared" si="42"/>
        <v>0</v>
      </c>
      <c r="X230">
        <f t="shared" si="43"/>
        <v>0</v>
      </c>
      <c r="Y230">
        <f t="shared" si="44"/>
        <v>0</v>
      </c>
      <c r="Z230">
        <f t="shared" si="45"/>
        <v>0</v>
      </c>
      <c r="AA230" t="str">
        <f>INDEX('Priority activities'!$D$5:$D$86,MATCH('Database for analysis'!C230,'Priority activities'!$C$5:$C$86,0))</f>
        <v>Adolescents and youth</v>
      </c>
    </row>
    <row r="231" spans="2:27" ht="16.5" thickTop="1" thickBot="1" x14ac:dyDescent="0.3">
      <c r="B231" t="s">
        <v>147</v>
      </c>
      <c r="C231" s="22" t="str">
        <f>'Costing inputs'!$C$139</f>
        <v>ASRH/ AIDS clubs guidelines and identification meeting (D3.1)</v>
      </c>
      <c r="D231" s="22" t="str">
        <f>'Costing inputs'!$U$139</f>
        <v>Central level</v>
      </c>
      <c r="E231" s="22" t="str">
        <f>'Regional splits'!$G$14</f>
        <v>Lusaka</v>
      </c>
      <c r="F231">
        <v>0</v>
      </c>
      <c r="G231">
        <v>0</v>
      </c>
      <c r="H231">
        <v>0</v>
      </c>
      <c r="I231">
        <v>0</v>
      </c>
      <c r="J231">
        <v>0</v>
      </c>
      <c r="K231">
        <v>0</v>
      </c>
      <c r="L231">
        <v>0</v>
      </c>
      <c r="M231">
        <v>0</v>
      </c>
      <c r="N231">
        <v>0</v>
      </c>
      <c r="O231">
        <v>0</v>
      </c>
      <c r="P231" s="5">
        <f t="shared" si="35"/>
        <v>0</v>
      </c>
      <c r="Q231">
        <f t="shared" si="36"/>
        <v>0</v>
      </c>
      <c r="R231">
        <f t="shared" si="37"/>
        <v>0</v>
      </c>
      <c r="S231">
        <f t="shared" si="38"/>
        <v>0</v>
      </c>
      <c r="T231">
        <f t="shared" si="39"/>
        <v>0</v>
      </c>
      <c r="U231">
        <f t="shared" si="40"/>
        <v>0</v>
      </c>
      <c r="V231">
        <f t="shared" si="41"/>
        <v>0</v>
      </c>
      <c r="W231">
        <f t="shared" si="42"/>
        <v>0</v>
      </c>
      <c r="X231">
        <f t="shared" si="43"/>
        <v>0</v>
      </c>
      <c r="Y231">
        <f t="shared" si="44"/>
        <v>0</v>
      </c>
      <c r="Z231">
        <f t="shared" si="45"/>
        <v>0</v>
      </c>
      <c r="AA231" t="str">
        <f>INDEX('Priority activities'!$D$5:$D$86,MATCH('Database for analysis'!C231,'Priority activities'!$C$5:$C$86,0))</f>
        <v>Adolescents and youth</v>
      </c>
    </row>
    <row r="232" spans="2:27" ht="16.5" thickTop="1" thickBot="1" x14ac:dyDescent="0.3">
      <c r="B232" t="s">
        <v>147</v>
      </c>
      <c r="C232" s="22" t="str">
        <f>'Costing inputs'!$C$139</f>
        <v>ASRH/ AIDS clubs guidelines and identification meeting (D3.1)</v>
      </c>
      <c r="D232" s="22" t="str">
        <f>'Costing inputs'!$U$139</f>
        <v>Central level</v>
      </c>
      <c r="E232" s="22" t="str">
        <f>'Regional splits'!$H$14</f>
        <v>Muchinga</v>
      </c>
      <c r="F232">
        <v>0</v>
      </c>
      <c r="G232">
        <v>0</v>
      </c>
      <c r="H232">
        <v>0</v>
      </c>
      <c r="I232">
        <v>0</v>
      </c>
      <c r="J232">
        <v>0</v>
      </c>
      <c r="K232">
        <v>0</v>
      </c>
      <c r="L232">
        <v>0</v>
      </c>
      <c r="M232">
        <v>0</v>
      </c>
      <c r="N232">
        <v>0</v>
      </c>
      <c r="O232">
        <v>0</v>
      </c>
      <c r="P232" s="5">
        <f t="shared" si="35"/>
        <v>0</v>
      </c>
      <c r="Q232">
        <f t="shared" si="36"/>
        <v>0</v>
      </c>
      <c r="R232">
        <f t="shared" si="37"/>
        <v>0</v>
      </c>
      <c r="S232">
        <f t="shared" si="38"/>
        <v>0</v>
      </c>
      <c r="T232">
        <f t="shared" si="39"/>
        <v>0</v>
      </c>
      <c r="U232">
        <f t="shared" si="40"/>
        <v>0</v>
      </c>
      <c r="V232">
        <f t="shared" si="41"/>
        <v>0</v>
      </c>
      <c r="W232">
        <f t="shared" si="42"/>
        <v>0</v>
      </c>
      <c r="X232">
        <f t="shared" si="43"/>
        <v>0</v>
      </c>
      <c r="Y232">
        <f t="shared" si="44"/>
        <v>0</v>
      </c>
      <c r="Z232">
        <f t="shared" si="45"/>
        <v>0</v>
      </c>
      <c r="AA232" t="str">
        <f>INDEX('Priority activities'!$D$5:$D$86,MATCH('Database for analysis'!C232,'Priority activities'!$C$5:$C$86,0))</f>
        <v>Adolescents and youth</v>
      </c>
    </row>
    <row r="233" spans="2:27" ht="16.5" thickTop="1" thickBot="1" x14ac:dyDescent="0.3">
      <c r="B233" t="s">
        <v>147</v>
      </c>
      <c r="C233" s="22" t="str">
        <f>'Costing inputs'!$C$139</f>
        <v>ASRH/ AIDS clubs guidelines and identification meeting (D3.1)</v>
      </c>
      <c r="D233" s="22" t="str">
        <f>'Costing inputs'!$U$139</f>
        <v>Central level</v>
      </c>
      <c r="E233" s="22" t="str">
        <f>'Regional splits'!$I$14</f>
        <v>Northern</v>
      </c>
      <c r="F233">
        <v>0</v>
      </c>
      <c r="G233">
        <v>0</v>
      </c>
      <c r="H233">
        <v>0</v>
      </c>
      <c r="I233">
        <v>0</v>
      </c>
      <c r="J233">
        <v>0</v>
      </c>
      <c r="K233">
        <v>0</v>
      </c>
      <c r="L233">
        <v>0</v>
      </c>
      <c r="M233">
        <v>0</v>
      </c>
      <c r="N233">
        <v>0</v>
      </c>
      <c r="O233">
        <v>0</v>
      </c>
      <c r="P233" s="5">
        <f t="shared" si="35"/>
        <v>0</v>
      </c>
      <c r="Q233">
        <f t="shared" si="36"/>
        <v>0</v>
      </c>
      <c r="R233">
        <f t="shared" si="37"/>
        <v>0</v>
      </c>
      <c r="S233">
        <f t="shared" si="38"/>
        <v>0</v>
      </c>
      <c r="T233">
        <f t="shared" si="39"/>
        <v>0</v>
      </c>
      <c r="U233">
        <f t="shared" si="40"/>
        <v>0</v>
      </c>
      <c r="V233">
        <f t="shared" si="41"/>
        <v>0</v>
      </c>
      <c r="W233">
        <f t="shared" si="42"/>
        <v>0</v>
      </c>
      <c r="X233">
        <f t="shared" si="43"/>
        <v>0</v>
      </c>
      <c r="Y233">
        <f t="shared" si="44"/>
        <v>0</v>
      </c>
      <c r="Z233">
        <f t="shared" si="45"/>
        <v>0</v>
      </c>
      <c r="AA233" t="str">
        <f>INDEX('Priority activities'!$D$5:$D$86,MATCH('Database for analysis'!C233,'Priority activities'!$C$5:$C$86,0))</f>
        <v>Adolescents and youth</v>
      </c>
    </row>
    <row r="234" spans="2:27" ht="16.5" thickTop="1" thickBot="1" x14ac:dyDescent="0.3">
      <c r="B234" t="s">
        <v>147</v>
      </c>
      <c r="C234" s="22" t="str">
        <f>'Costing inputs'!$C$139</f>
        <v>ASRH/ AIDS clubs guidelines and identification meeting (D3.1)</v>
      </c>
      <c r="D234" s="22" t="str">
        <f>'Costing inputs'!$U$139</f>
        <v>Central level</v>
      </c>
      <c r="E234" s="22" t="str">
        <f>'Regional splits'!$J$14</f>
        <v>North Western</v>
      </c>
      <c r="F234">
        <v>0</v>
      </c>
      <c r="G234">
        <v>0</v>
      </c>
      <c r="H234">
        <v>0</v>
      </c>
      <c r="I234">
        <v>0</v>
      </c>
      <c r="J234">
        <v>0</v>
      </c>
      <c r="K234">
        <v>0</v>
      </c>
      <c r="L234">
        <v>0</v>
      </c>
      <c r="M234">
        <v>0</v>
      </c>
      <c r="N234">
        <v>0</v>
      </c>
      <c r="O234">
        <v>0</v>
      </c>
      <c r="P234" s="5">
        <f t="shared" si="35"/>
        <v>0</v>
      </c>
      <c r="Q234">
        <f t="shared" si="36"/>
        <v>0</v>
      </c>
      <c r="R234">
        <f t="shared" si="37"/>
        <v>0</v>
      </c>
      <c r="S234">
        <f t="shared" si="38"/>
        <v>0</v>
      </c>
      <c r="T234">
        <f t="shared" si="39"/>
        <v>0</v>
      </c>
      <c r="U234">
        <f t="shared" si="40"/>
        <v>0</v>
      </c>
      <c r="V234">
        <f t="shared" si="41"/>
        <v>0</v>
      </c>
      <c r="W234">
        <f t="shared" si="42"/>
        <v>0</v>
      </c>
      <c r="X234">
        <f t="shared" si="43"/>
        <v>0</v>
      </c>
      <c r="Y234">
        <f t="shared" si="44"/>
        <v>0</v>
      </c>
      <c r="Z234">
        <f t="shared" si="45"/>
        <v>0</v>
      </c>
      <c r="AA234" t="str">
        <f>INDEX('Priority activities'!$D$5:$D$86,MATCH('Database for analysis'!C234,'Priority activities'!$C$5:$C$86,0))</f>
        <v>Adolescents and youth</v>
      </c>
    </row>
    <row r="235" spans="2:27" ht="16.5" thickTop="1" thickBot="1" x14ac:dyDescent="0.3">
      <c r="B235" t="s">
        <v>147</v>
      </c>
      <c r="C235" s="22" t="str">
        <f>'Costing inputs'!$C$139</f>
        <v>ASRH/ AIDS clubs guidelines and identification meeting (D3.1)</v>
      </c>
      <c r="D235" s="22" t="str">
        <f>'Costing inputs'!$U$139</f>
        <v>Central level</v>
      </c>
      <c r="E235" s="22" t="str">
        <f>'Regional splits'!$K$14</f>
        <v>Southern</v>
      </c>
      <c r="F235">
        <v>0</v>
      </c>
      <c r="G235">
        <v>0</v>
      </c>
      <c r="H235">
        <v>0</v>
      </c>
      <c r="I235">
        <v>0</v>
      </c>
      <c r="J235">
        <v>0</v>
      </c>
      <c r="K235">
        <v>0</v>
      </c>
      <c r="L235">
        <v>0</v>
      </c>
      <c r="M235">
        <v>0</v>
      </c>
      <c r="N235">
        <v>0</v>
      </c>
      <c r="O235">
        <v>0</v>
      </c>
      <c r="P235" s="5">
        <f t="shared" si="35"/>
        <v>0</v>
      </c>
      <c r="Q235">
        <f t="shared" si="36"/>
        <v>0</v>
      </c>
      <c r="R235">
        <f t="shared" si="37"/>
        <v>0</v>
      </c>
      <c r="S235">
        <f t="shared" si="38"/>
        <v>0</v>
      </c>
      <c r="T235">
        <f t="shared" si="39"/>
        <v>0</v>
      </c>
      <c r="U235">
        <f t="shared" si="40"/>
        <v>0</v>
      </c>
      <c r="V235">
        <f t="shared" si="41"/>
        <v>0</v>
      </c>
      <c r="W235">
        <f t="shared" si="42"/>
        <v>0</v>
      </c>
      <c r="X235">
        <f t="shared" si="43"/>
        <v>0</v>
      </c>
      <c r="Y235">
        <f t="shared" si="44"/>
        <v>0</v>
      </c>
      <c r="Z235">
        <f t="shared" si="45"/>
        <v>0</v>
      </c>
      <c r="AA235" t="str">
        <f>INDEX('Priority activities'!$D$5:$D$86,MATCH('Database for analysis'!C235,'Priority activities'!$C$5:$C$86,0))</f>
        <v>Adolescents and youth</v>
      </c>
    </row>
    <row r="236" spans="2:27" ht="16.5" thickTop="1" thickBot="1" x14ac:dyDescent="0.3">
      <c r="B236" t="s">
        <v>147</v>
      </c>
      <c r="C236" s="22" t="str">
        <f>'Costing inputs'!$C$139</f>
        <v>ASRH/ AIDS clubs guidelines and identification meeting (D3.1)</v>
      </c>
      <c r="D236" s="22" t="str">
        <f>'Costing inputs'!$U$139</f>
        <v>Central level</v>
      </c>
      <c r="E236" s="22" t="str">
        <f>'Regional splits'!$L$14</f>
        <v>Western</v>
      </c>
      <c r="F236">
        <v>0</v>
      </c>
      <c r="G236">
        <v>0</v>
      </c>
      <c r="H236">
        <v>0</v>
      </c>
      <c r="I236">
        <v>0</v>
      </c>
      <c r="J236">
        <v>0</v>
      </c>
      <c r="K236">
        <v>0</v>
      </c>
      <c r="L236">
        <v>0</v>
      </c>
      <c r="M236">
        <v>0</v>
      </c>
      <c r="N236">
        <v>0</v>
      </c>
      <c r="O236">
        <v>0</v>
      </c>
      <c r="P236" s="5">
        <f t="shared" si="35"/>
        <v>0</v>
      </c>
      <c r="Q236">
        <f t="shared" si="36"/>
        <v>0</v>
      </c>
      <c r="R236">
        <f t="shared" si="37"/>
        <v>0</v>
      </c>
      <c r="S236">
        <f t="shared" si="38"/>
        <v>0</v>
      </c>
      <c r="T236">
        <f t="shared" si="39"/>
        <v>0</v>
      </c>
      <c r="U236">
        <f t="shared" si="40"/>
        <v>0</v>
      </c>
      <c r="V236">
        <f t="shared" si="41"/>
        <v>0</v>
      </c>
      <c r="W236">
        <f t="shared" si="42"/>
        <v>0</v>
      </c>
      <c r="X236">
        <f t="shared" si="43"/>
        <v>0</v>
      </c>
      <c r="Y236">
        <f t="shared" si="44"/>
        <v>0</v>
      </c>
      <c r="Z236">
        <f t="shared" si="45"/>
        <v>0</v>
      </c>
      <c r="AA236" t="str">
        <f>INDEX('Priority activities'!$D$5:$D$86,MATCH('Database for analysis'!C236,'Priority activities'!$C$5:$C$86,0))</f>
        <v>Adolescents and youth</v>
      </c>
    </row>
    <row r="237" spans="2:27" ht="16.5" thickTop="1" thickBot="1" x14ac:dyDescent="0.3">
      <c r="B237" t="s">
        <v>147</v>
      </c>
      <c r="C237" s="22" t="str">
        <f>'Costing inputs'!$C$139</f>
        <v>ASRH/ AIDS clubs guidelines and identification meeting (D3.1)</v>
      </c>
      <c r="D237" s="22" t="str">
        <f>'Costing inputs'!$U$139</f>
        <v>Central level</v>
      </c>
      <c r="E237" s="22">
        <f>'Regional splits'!$M$14</f>
        <v>0</v>
      </c>
      <c r="F237">
        <v>0</v>
      </c>
      <c r="G237">
        <v>0</v>
      </c>
      <c r="H237">
        <v>0</v>
      </c>
      <c r="I237">
        <v>0</v>
      </c>
      <c r="J237">
        <v>0</v>
      </c>
      <c r="K237">
        <v>0</v>
      </c>
      <c r="L237">
        <v>0</v>
      </c>
      <c r="M237">
        <v>0</v>
      </c>
      <c r="N237">
        <v>0</v>
      </c>
      <c r="O237">
        <v>0</v>
      </c>
      <c r="P237" s="5">
        <f t="shared" si="35"/>
        <v>0</v>
      </c>
      <c r="Q237">
        <f t="shared" si="36"/>
        <v>0</v>
      </c>
      <c r="R237">
        <f t="shared" si="37"/>
        <v>0</v>
      </c>
      <c r="S237">
        <f t="shared" si="38"/>
        <v>0</v>
      </c>
      <c r="T237">
        <f t="shared" si="39"/>
        <v>0</v>
      </c>
      <c r="U237">
        <f t="shared" si="40"/>
        <v>0</v>
      </c>
      <c r="V237">
        <f t="shared" si="41"/>
        <v>0</v>
      </c>
      <c r="W237">
        <f t="shared" si="42"/>
        <v>0</v>
      </c>
      <c r="X237">
        <f t="shared" si="43"/>
        <v>0</v>
      </c>
      <c r="Y237">
        <f t="shared" si="44"/>
        <v>0</v>
      </c>
      <c r="Z237">
        <f t="shared" si="45"/>
        <v>0</v>
      </c>
      <c r="AA237" t="str">
        <f>INDEX('Priority activities'!$D$5:$D$86,MATCH('Database for analysis'!C237,'Priority activities'!$C$5:$C$86,0))</f>
        <v>Adolescents and youth</v>
      </c>
    </row>
    <row r="238" spans="2:27" ht="16.5" thickTop="1" thickBot="1" x14ac:dyDescent="0.3">
      <c r="B238" t="s">
        <v>147</v>
      </c>
      <c r="C238" s="22" t="str">
        <f>'Costing inputs'!$C$139</f>
        <v>ASRH/ AIDS clubs guidelines and identification meeting (D3.1)</v>
      </c>
      <c r="D238" s="22" t="str">
        <f>'Costing inputs'!$U$139</f>
        <v>Central level</v>
      </c>
      <c r="E238" s="22">
        <f>'Regional splits'!$N$14</f>
        <v>0</v>
      </c>
      <c r="F238">
        <v>0</v>
      </c>
      <c r="G238">
        <v>0</v>
      </c>
      <c r="H238">
        <v>0</v>
      </c>
      <c r="I238">
        <v>0</v>
      </c>
      <c r="J238">
        <v>0</v>
      </c>
      <c r="K238">
        <v>0</v>
      </c>
      <c r="L238">
        <v>0</v>
      </c>
      <c r="M238">
        <v>0</v>
      </c>
      <c r="N238">
        <v>0</v>
      </c>
      <c r="O238">
        <v>0</v>
      </c>
      <c r="P238" s="5">
        <f t="shared" si="35"/>
        <v>0</v>
      </c>
      <c r="Q238">
        <f t="shared" si="36"/>
        <v>0</v>
      </c>
      <c r="R238">
        <f t="shared" si="37"/>
        <v>0</v>
      </c>
      <c r="S238">
        <f t="shared" si="38"/>
        <v>0</v>
      </c>
      <c r="T238">
        <f t="shared" si="39"/>
        <v>0</v>
      </c>
      <c r="U238">
        <f t="shared" si="40"/>
        <v>0</v>
      </c>
      <c r="V238">
        <f t="shared" si="41"/>
        <v>0</v>
      </c>
      <c r="W238">
        <f t="shared" si="42"/>
        <v>0</v>
      </c>
      <c r="X238">
        <f t="shared" si="43"/>
        <v>0</v>
      </c>
      <c r="Y238">
        <f t="shared" si="44"/>
        <v>0</v>
      </c>
      <c r="Z238">
        <f t="shared" si="45"/>
        <v>0</v>
      </c>
      <c r="AA238" t="str">
        <f>INDEX('Priority activities'!$D$5:$D$86,MATCH('Database for analysis'!C238,'Priority activities'!$C$5:$C$86,0))</f>
        <v>Adolescents and youth</v>
      </c>
    </row>
    <row r="239" spans="2:27" ht="16.5" thickTop="1" thickBot="1" x14ac:dyDescent="0.3">
      <c r="B239" t="s">
        <v>147</v>
      </c>
      <c r="C239" s="22" t="str">
        <f>'Costing inputs'!$C$139</f>
        <v>ASRH/ AIDS clubs guidelines and identification meeting (D3.1)</v>
      </c>
      <c r="D239" s="22" t="str">
        <f>'Costing inputs'!$U$139</f>
        <v>Central level</v>
      </c>
      <c r="E239" s="22">
        <f>'Regional splits'!$O$14</f>
        <v>0</v>
      </c>
      <c r="F239">
        <v>0</v>
      </c>
      <c r="G239">
        <v>0</v>
      </c>
      <c r="H239">
        <v>0</v>
      </c>
      <c r="I239">
        <v>0</v>
      </c>
      <c r="J239">
        <v>0</v>
      </c>
      <c r="K239">
        <v>0</v>
      </c>
      <c r="L239">
        <v>0</v>
      </c>
      <c r="M239">
        <v>0</v>
      </c>
      <c r="N239">
        <v>0</v>
      </c>
      <c r="O239">
        <v>0</v>
      </c>
      <c r="P239" s="5">
        <f t="shared" si="35"/>
        <v>0</v>
      </c>
      <c r="Q239">
        <f t="shared" si="36"/>
        <v>0</v>
      </c>
      <c r="R239">
        <f t="shared" si="37"/>
        <v>0</v>
      </c>
      <c r="S239">
        <f t="shared" si="38"/>
        <v>0</v>
      </c>
      <c r="T239">
        <f t="shared" si="39"/>
        <v>0</v>
      </c>
      <c r="U239">
        <f t="shared" si="40"/>
        <v>0</v>
      </c>
      <c r="V239">
        <f t="shared" si="41"/>
        <v>0</v>
      </c>
      <c r="W239">
        <f t="shared" si="42"/>
        <v>0</v>
      </c>
      <c r="X239">
        <f t="shared" si="43"/>
        <v>0</v>
      </c>
      <c r="Y239">
        <f t="shared" si="44"/>
        <v>0</v>
      </c>
      <c r="Z239">
        <f t="shared" si="45"/>
        <v>0</v>
      </c>
      <c r="AA239" t="str">
        <f>INDEX('Priority activities'!$D$5:$D$86,MATCH('Database for analysis'!C239,'Priority activities'!$C$5:$C$86,0))</f>
        <v>Adolescents and youth</v>
      </c>
    </row>
    <row r="240" spans="2:27" ht="16.5" thickTop="1" thickBot="1" x14ac:dyDescent="0.3">
      <c r="B240" t="s">
        <v>147</v>
      </c>
      <c r="C240" s="22" t="str">
        <f>'Costing inputs'!$C$139</f>
        <v>ASRH/ AIDS clubs guidelines and identification meeting (D3.1)</v>
      </c>
      <c r="D240" s="22" t="str">
        <f>'Costing inputs'!$U$139</f>
        <v>Central level</v>
      </c>
      <c r="E240" s="22">
        <f>'Regional splits'!$P$14</f>
        <v>0</v>
      </c>
      <c r="F240">
        <v>0</v>
      </c>
      <c r="G240">
        <v>0</v>
      </c>
      <c r="H240">
        <v>0</v>
      </c>
      <c r="I240">
        <v>0</v>
      </c>
      <c r="J240">
        <v>0</v>
      </c>
      <c r="K240">
        <v>0</v>
      </c>
      <c r="L240">
        <v>0</v>
      </c>
      <c r="M240">
        <v>0</v>
      </c>
      <c r="N240">
        <v>0</v>
      </c>
      <c r="O240">
        <v>0</v>
      </c>
      <c r="P240" s="5">
        <f t="shared" si="35"/>
        <v>0</v>
      </c>
      <c r="Q240">
        <f t="shared" si="36"/>
        <v>0</v>
      </c>
      <c r="R240">
        <f t="shared" si="37"/>
        <v>0</v>
      </c>
      <c r="S240">
        <f t="shared" si="38"/>
        <v>0</v>
      </c>
      <c r="T240">
        <f t="shared" si="39"/>
        <v>0</v>
      </c>
      <c r="U240">
        <f t="shared" si="40"/>
        <v>0</v>
      </c>
      <c r="V240">
        <f t="shared" si="41"/>
        <v>0</v>
      </c>
      <c r="W240">
        <f t="shared" si="42"/>
        <v>0</v>
      </c>
      <c r="X240">
        <f t="shared" si="43"/>
        <v>0</v>
      </c>
      <c r="Y240">
        <f t="shared" si="44"/>
        <v>0</v>
      </c>
      <c r="Z240">
        <f t="shared" si="45"/>
        <v>0</v>
      </c>
      <c r="AA240" t="str">
        <f>INDEX('Priority activities'!$D$5:$D$86,MATCH('Database for analysis'!C240,'Priority activities'!$C$5:$C$86,0))</f>
        <v>Adolescents and youth</v>
      </c>
    </row>
    <row r="241" spans="2:27" ht="16.5" thickTop="1" thickBot="1" x14ac:dyDescent="0.3">
      <c r="B241" t="s">
        <v>147</v>
      </c>
      <c r="C241" s="22" t="str">
        <f>'Costing inputs'!$C$139</f>
        <v>ASRH/ AIDS clubs guidelines and identification meeting (D3.1)</v>
      </c>
      <c r="D241" s="22" t="str">
        <f>'Costing inputs'!$U$139</f>
        <v>Central level</v>
      </c>
      <c r="E241" s="22">
        <f>'Regional splits'!$Q$14</f>
        <v>0</v>
      </c>
      <c r="F241">
        <v>0</v>
      </c>
      <c r="G241">
        <v>0</v>
      </c>
      <c r="H241">
        <v>0</v>
      </c>
      <c r="I241">
        <v>0</v>
      </c>
      <c r="J241">
        <v>0</v>
      </c>
      <c r="K241">
        <v>0</v>
      </c>
      <c r="L241">
        <v>0</v>
      </c>
      <c r="M241">
        <v>0</v>
      </c>
      <c r="N241">
        <v>0</v>
      </c>
      <c r="O241">
        <v>0</v>
      </c>
      <c r="P241" s="5">
        <f t="shared" si="35"/>
        <v>0</v>
      </c>
      <c r="Q241">
        <f t="shared" si="36"/>
        <v>0</v>
      </c>
      <c r="R241">
        <f t="shared" si="37"/>
        <v>0</v>
      </c>
      <c r="S241">
        <f t="shared" si="38"/>
        <v>0</v>
      </c>
      <c r="T241">
        <f t="shared" si="39"/>
        <v>0</v>
      </c>
      <c r="U241">
        <f t="shared" si="40"/>
        <v>0</v>
      </c>
      <c r="V241">
        <f t="shared" si="41"/>
        <v>0</v>
      </c>
      <c r="W241">
        <f t="shared" si="42"/>
        <v>0</v>
      </c>
      <c r="X241">
        <f t="shared" si="43"/>
        <v>0</v>
      </c>
      <c r="Y241">
        <f t="shared" si="44"/>
        <v>0</v>
      </c>
      <c r="Z241">
        <f t="shared" si="45"/>
        <v>0</v>
      </c>
      <c r="AA241" t="str">
        <f>INDEX('Priority activities'!$D$5:$D$86,MATCH('Database for analysis'!C241,'Priority activities'!$C$5:$C$86,0))</f>
        <v>Adolescents and youth</v>
      </c>
    </row>
    <row r="242" spans="2:27" ht="16.5" thickTop="1" thickBot="1" x14ac:dyDescent="0.3">
      <c r="B242" t="s">
        <v>147</v>
      </c>
      <c r="C242" s="22" t="str">
        <f>'Costing inputs'!$C$139</f>
        <v>ASRH/ AIDS clubs guidelines and identification meeting (D3.1)</v>
      </c>
      <c r="D242" s="22" t="str">
        <f>'Costing inputs'!$U$139</f>
        <v>Central level</v>
      </c>
      <c r="E242" s="22" t="str">
        <f>'Regional splits'!$R$14</f>
        <v>National-level</v>
      </c>
      <c r="F242">
        <v>0</v>
      </c>
      <c r="G242">
        <v>28677.576000000001</v>
      </c>
      <c r="H242">
        <v>0</v>
      </c>
      <c r="I242">
        <v>0</v>
      </c>
      <c r="J242">
        <v>0</v>
      </c>
      <c r="K242">
        <v>0</v>
      </c>
      <c r="L242">
        <v>0</v>
      </c>
      <c r="M242">
        <v>0</v>
      </c>
      <c r="N242">
        <v>0</v>
      </c>
      <c r="O242">
        <v>0</v>
      </c>
      <c r="P242" s="5">
        <f t="shared" si="35"/>
        <v>28677.576000000001</v>
      </c>
      <c r="Q242">
        <f t="shared" si="36"/>
        <v>0</v>
      </c>
      <c r="R242">
        <f t="shared" si="37"/>
        <v>28677.576000000001</v>
      </c>
      <c r="S242">
        <f t="shared" si="38"/>
        <v>0</v>
      </c>
      <c r="T242">
        <f t="shared" si="39"/>
        <v>0</v>
      </c>
      <c r="U242">
        <f t="shared" si="40"/>
        <v>0</v>
      </c>
      <c r="V242">
        <f t="shared" si="41"/>
        <v>0</v>
      </c>
      <c r="W242">
        <f t="shared" si="42"/>
        <v>0</v>
      </c>
      <c r="X242">
        <f t="shared" si="43"/>
        <v>0</v>
      </c>
      <c r="Y242">
        <f t="shared" si="44"/>
        <v>0</v>
      </c>
      <c r="Z242">
        <f t="shared" si="45"/>
        <v>0</v>
      </c>
      <c r="AA242" t="str">
        <f>INDEX('Priority activities'!$D$5:$D$86,MATCH('Database for analysis'!C242,'Priority activities'!$C$5:$C$86,0))</f>
        <v>Adolescents and youth</v>
      </c>
    </row>
    <row r="243" spans="2:27" ht="16.5" thickTop="1" thickBot="1" x14ac:dyDescent="0.3">
      <c r="B243" t="s">
        <v>147</v>
      </c>
      <c r="C243" s="22" t="str">
        <f>'Costing inputs'!$C$143</f>
        <v>Advocate with youth developmental organizations (D3.2)</v>
      </c>
      <c r="D243" s="22" t="str">
        <f>'Costing inputs'!$U$143</f>
        <v>Central level</v>
      </c>
      <c r="E243" s="22" t="str">
        <f>'Regional splits'!$C$14</f>
        <v>Central</v>
      </c>
      <c r="F243">
        <f t="array" ref="F243:O258">'Costing inputs'!S143*'Costing inputs'!AP143:AY143*TRANSPOSE('Costing inputs'!W143:AL143)</f>
        <v>0</v>
      </c>
      <c r="G243">
        <v>0</v>
      </c>
      <c r="H243">
        <v>0</v>
      </c>
      <c r="I243">
        <v>0</v>
      </c>
      <c r="J243">
        <v>0</v>
      </c>
      <c r="K243">
        <v>0</v>
      </c>
      <c r="L243">
        <v>0</v>
      </c>
      <c r="M243">
        <v>0</v>
      </c>
      <c r="N243">
        <v>0</v>
      </c>
      <c r="O243">
        <v>0</v>
      </c>
      <c r="P243" s="5">
        <f t="shared" si="35"/>
        <v>0</v>
      </c>
      <c r="Q243">
        <f t="shared" si="36"/>
        <v>0</v>
      </c>
      <c r="R243">
        <f t="shared" si="37"/>
        <v>0</v>
      </c>
      <c r="S243">
        <f t="shared" si="38"/>
        <v>0</v>
      </c>
      <c r="T243">
        <f t="shared" si="39"/>
        <v>0</v>
      </c>
      <c r="U243">
        <f t="shared" si="40"/>
        <v>0</v>
      </c>
      <c r="V243">
        <f t="shared" si="41"/>
        <v>0</v>
      </c>
      <c r="W243">
        <f t="shared" si="42"/>
        <v>0</v>
      </c>
      <c r="X243">
        <f t="shared" si="43"/>
        <v>0</v>
      </c>
      <c r="Y243">
        <f t="shared" si="44"/>
        <v>0</v>
      </c>
      <c r="Z243">
        <f t="shared" si="45"/>
        <v>0</v>
      </c>
      <c r="AA243" t="str">
        <f>INDEX('Priority activities'!$D$5:$D$86,MATCH('Database for analysis'!C243,'Priority activities'!$C$5:$C$86,0))</f>
        <v>Adolescents and youth</v>
      </c>
    </row>
    <row r="244" spans="2:27" ht="16.5" thickTop="1" thickBot="1" x14ac:dyDescent="0.3">
      <c r="B244" t="s">
        <v>147</v>
      </c>
      <c r="C244" s="22" t="str">
        <f>'Costing inputs'!$C$143</f>
        <v>Advocate with youth developmental organizations (D3.2)</v>
      </c>
      <c r="D244" s="22" t="str">
        <f>'Costing inputs'!$U$143</f>
        <v>Central level</v>
      </c>
      <c r="E244" s="22" t="str">
        <f>'Regional splits'!$D$14</f>
        <v>Copperbelt</v>
      </c>
      <c r="F244">
        <v>0</v>
      </c>
      <c r="G244">
        <v>0</v>
      </c>
      <c r="H244">
        <v>0</v>
      </c>
      <c r="I244">
        <v>0</v>
      </c>
      <c r="J244">
        <v>0</v>
      </c>
      <c r="K244">
        <v>0</v>
      </c>
      <c r="L244">
        <v>0</v>
      </c>
      <c r="M244">
        <v>0</v>
      </c>
      <c r="N244">
        <v>0</v>
      </c>
      <c r="O244">
        <v>0</v>
      </c>
      <c r="P244" s="5">
        <f t="shared" si="35"/>
        <v>0</v>
      </c>
      <c r="Q244">
        <f t="shared" si="36"/>
        <v>0</v>
      </c>
      <c r="R244">
        <f t="shared" si="37"/>
        <v>0</v>
      </c>
      <c r="S244">
        <f t="shared" si="38"/>
        <v>0</v>
      </c>
      <c r="T244">
        <f t="shared" si="39"/>
        <v>0</v>
      </c>
      <c r="U244">
        <f t="shared" si="40"/>
        <v>0</v>
      </c>
      <c r="V244">
        <f t="shared" si="41"/>
        <v>0</v>
      </c>
      <c r="W244">
        <f t="shared" si="42"/>
        <v>0</v>
      </c>
      <c r="X244">
        <f t="shared" si="43"/>
        <v>0</v>
      </c>
      <c r="Y244">
        <f t="shared" si="44"/>
        <v>0</v>
      </c>
      <c r="Z244">
        <f t="shared" si="45"/>
        <v>0</v>
      </c>
      <c r="AA244" t="str">
        <f>INDEX('Priority activities'!$D$5:$D$86,MATCH('Database for analysis'!C244,'Priority activities'!$C$5:$C$86,0))</f>
        <v>Adolescents and youth</v>
      </c>
    </row>
    <row r="245" spans="2:27" ht="16.5" thickTop="1" thickBot="1" x14ac:dyDescent="0.3">
      <c r="B245" t="s">
        <v>147</v>
      </c>
      <c r="C245" s="22" t="str">
        <f>'Costing inputs'!$C$143</f>
        <v>Advocate with youth developmental organizations (D3.2)</v>
      </c>
      <c r="D245" s="22" t="str">
        <f>'Costing inputs'!$U$143</f>
        <v>Central level</v>
      </c>
      <c r="E245" s="22" t="str">
        <f>'Regional splits'!$E$14</f>
        <v>Eastern</v>
      </c>
      <c r="F245">
        <v>0</v>
      </c>
      <c r="G245">
        <v>0</v>
      </c>
      <c r="H245">
        <v>0</v>
      </c>
      <c r="I245">
        <v>0</v>
      </c>
      <c r="J245">
        <v>0</v>
      </c>
      <c r="K245">
        <v>0</v>
      </c>
      <c r="L245">
        <v>0</v>
      </c>
      <c r="M245">
        <v>0</v>
      </c>
      <c r="N245">
        <v>0</v>
      </c>
      <c r="O245">
        <v>0</v>
      </c>
      <c r="P245" s="5">
        <f t="shared" si="35"/>
        <v>0</v>
      </c>
      <c r="Q245">
        <f t="shared" si="36"/>
        <v>0</v>
      </c>
      <c r="R245">
        <f t="shared" si="37"/>
        <v>0</v>
      </c>
      <c r="S245">
        <f t="shared" si="38"/>
        <v>0</v>
      </c>
      <c r="T245">
        <f t="shared" si="39"/>
        <v>0</v>
      </c>
      <c r="U245">
        <f t="shared" si="40"/>
        <v>0</v>
      </c>
      <c r="V245">
        <f t="shared" si="41"/>
        <v>0</v>
      </c>
      <c r="W245">
        <f t="shared" si="42"/>
        <v>0</v>
      </c>
      <c r="X245">
        <f t="shared" si="43"/>
        <v>0</v>
      </c>
      <c r="Y245">
        <f t="shared" si="44"/>
        <v>0</v>
      </c>
      <c r="Z245">
        <f t="shared" si="45"/>
        <v>0</v>
      </c>
      <c r="AA245" t="str">
        <f>INDEX('Priority activities'!$D$5:$D$86,MATCH('Database for analysis'!C245,'Priority activities'!$C$5:$C$86,0))</f>
        <v>Adolescents and youth</v>
      </c>
    </row>
    <row r="246" spans="2:27" ht="16.5" thickTop="1" thickBot="1" x14ac:dyDescent="0.3">
      <c r="B246" t="s">
        <v>147</v>
      </c>
      <c r="C246" s="22" t="str">
        <f>'Costing inputs'!$C$143</f>
        <v>Advocate with youth developmental organizations (D3.2)</v>
      </c>
      <c r="D246" s="22" t="str">
        <f>'Costing inputs'!$U$143</f>
        <v>Central level</v>
      </c>
      <c r="E246" s="22" t="str">
        <f>'Regional splits'!$F$14</f>
        <v>Luapula</v>
      </c>
      <c r="F246">
        <v>0</v>
      </c>
      <c r="G246">
        <v>0</v>
      </c>
      <c r="H246">
        <v>0</v>
      </c>
      <c r="I246">
        <v>0</v>
      </c>
      <c r="J246">
        <v>0</v>
      </c>
      <c r="K246">
        <v>0</v>
      </c>
      <c r="L246">
        <v>0</v>
      </c>
      <c r="M246">
        <v>0</v>
      </c>
      <c r="N246">
        <v>0</v>
      </c>
      <c r="O246">
        <v>0</v>
      </c>
      <c r="P246" s="5">
        <f t="shared" si="35"/>
        <v>0</v>
      </c>
      <c r="Q246">
        <f t="shared" si="36"/>
        <v>0</v>
      </c>
      <c r="R246">
        <f t="shared" si="37"/>
        <v>0</v>
      </c>
      <c r="S246">
        <f t="shared" si="38"/>
        <v>0</v>
      </c>
      <c r="T246">
        <f t="shared" si="39"/>
        <v>0</v>
      </c>
      <c r="U246">
        <f t="shared" si="40"/>
        <v>0</v>
      </c>
      <c r="V246">
        <f t="shared" si="41"/>
        <v>0</v>
      </c>
      <c r="W246">
        <f t="shared" si="42"/>
        <v>0</v>
      </c>
      <c r="X246">
        <f t="shared" si="43"/>
        <v>0</v>
      </c>
      <c r="Y246">
        <f t="shared" si="44"/>
        <v>0</v>
      </c>
      <c r="Z246">
        <f t="shared" si="45"/>
        <v>0</v>
      </c>
      <c r="AA246" t="str">
        <f>INDEX('Priority activities'!$D$5:$D$86,MATCH('Database for analysis'!C246,'Priority activities'!$C$5:$C$86,0))</f>
        <v>Adolescents and youth</v>
      </c>
    </row>
    <row r="247" spans="2:27" ht="16.5" thickTop="1" thickBot="1" x14ac:dyDescent="0.3">
      <c r="B247" t="s">
        <v>147</v>
      </c>
      <c r="C247" s="22" t="str">
        <f>'Costing inputs'!$C$143</f>
        <v>Advocate with youth developmental organizations (D3.2)</v>
      </c>
      <c r="D247" s="22" t="str">
        <f>'Costing inputs'!$U$143</f>
        <v>Central level</v>
      </c>
      <c r="E247" s="22" t="str">
        <f>'Regional splits'!$G$14</f>
        <v>Lusaka</v>
      </c>
      <c r="F247">
        <v>0</v>
      </c>
      <c r="G247">
        <v>0</v>
      </c>
      <c r="H247">
        <v>0</v>
      </c>
      <c r="I247">
        <v>0</v>
      </c>
      <c r="J247">
        <v>0</v>
      </c>
      <c r="K247">
        <v>0</v>
      </c>
      <c r="L247">
        <v>0</v>
      </c>
      <c r="M247">
        <v>0</v>
      </c>
      <c r="N247">
        <v>0</v>
      </c>
      <c r="O247">
        <v>0</v>
      </c>
      <c r="P247" s="5">
        <f t="shared" si="35"/>
        <v>0</v>
      </c>
      <c r="Q247">
        <f t="shared" si="36"/>
        <v>0</v>
      </c>
      <c r="R247">
        <f t="shared" si="37"/>
        <v>0</v>
      </c>
      <c r="S247">
        <f t="shared" si="38"/>
        <v>0</v>
      </c>
      <c r="T247">
        <f t="shared" si="39"/>
        <v>0</v>
      </c>
      <c r="U247">
        <f t="shared" si="40"/>
        <v>0</v>
      </c>
      <c r="V247">
        <f t="shared" si="41"/>
        <v>0</v>
      </c>
      <c r="W247">
        <f t="shared" si="42"/>
        <v>0</v>
      </c>
      <c r="X247">
        <f t="shared" si="43"/>
        <v>0</v>
      </c>
      <c r="Y247">
        <f t="shared" si="44"/>
        <v>0</v>
      </c>
      <c r="Z247">
        <f t="shared" si="45"/>
        <v>0</v>
      </c>
      <c r="AA247" t="str">
        <f>INDEX('Priority activities'!$D$5:$D$86,MATCH('Database for analysis'!C247,'Priority activities'!$C$5:$C$86,0))</f>
        <v>Adolescents and youth</v>
      </c>
    </row>
    <row r="248" spans="2:27" ht="16.5" thickTop="1" thickBot="1" x14ac:dyDescent="0.3">
      <c r="B248" t="s">
        <v>147</v>
      </c>
      <c r="C248" s="22" t="str">
        <f>'Costing inputs'!$C$143</f>
        <v>Advocate with youth developmental organizations (D3.2)</v>
      </c>
      <c r="D248" s="22" t="str">
        <f>'Costing inputs'!$U$143</f>
        <v>Central level</v>
      </c>
      <c r="E248" s="22" t="str">
        <f>'Regional splits'!$H$14</f>
        <v>Muchinga</v>
      </c>
      <c r="F248">
        <v>0</v>
      </c>
      <c r="G248">
        <v>0</v>
      </c>
      <c r="H248">
        <v>0</v>
      </c>
      <c r="I248">
        <v>0</v>
      </c>
      <c r="J248">
        <v>0</v>
      </c>
      <c r="K248">
        <v>0</v>
      </c>
      <c r="L248">
        <v>0</v>
      </c>
      <c r="M248">
        <v>0</v>
      </c>
      <c r="N248">
        <v>0</v>
      </c>
      <c r="O248">
        <v>0</v>
      </c>
      <c r="P248" s="5">
        <f t="shared" si="35"/>
        <v>0</v>
      </c>
      <c r="Q248">
        <f t="shared" si="36"/>
        <v>0</v>
      </c>
      <c r="R248">
        <f t="shared" si="37"/>
        <v>0</v>
      </c>
      <c r="S248">
        <f t="shared" si="38"/>
        <v>0</v>
      </c>
      <c r="T248">
        <f t="shared" si="39"/>
        <v>0</v>
      </c>
      <c r="U248">
        <f t="shared" si="40"/>
        <v>0</v>
      </c>
      <c r="V248">
        <f t="shared" si="41"/>
        <v>0</v>
      </c>
      <c r="W248">
        <f t="shared" si="42"/>
        <v>0</v>
      </c>
      <c r="X248">
        <f t="shared" si="43"/>
        <v>0</v>
      </c>
      <c r="Y248">
        <f t="shared" si="44"/>
        <v>0</v>
      </c>
      <c r="Z248">
        <f t="shared" si="45"/>
        <v>0</v>
      </c>
      <c r="AA248" t="str">
        <f>INDEX('Priority activities'!$D$5:$D$86,MATCH('Database for analysis'!C248,'Priority activities'!$C$5:$C$86,0))</f>
        <v>Adolescents and youth</v>
      </c>
    </row>
    <row r="249" spans="2:27" ht="16.5" thickTop="1" thickBot="1" x14ac:dyDescent="0.3">
      <c r="B249" t="s">
        <v>147</v>
      </c>
      <c r="C249" s="22" t="str">
        <f>'Costing inputs'!$C$143</f>
        <v>Advocate with youth developmental organizations (D3.2)</v>
      </c>
      <c r="D249" s="22" t="str">
        <f>'Costing inputs'!$U$143</f>
        <v>Central level</v>
      </c>
      <c r="E249" s="22" t="str">
        <f>'Regional splits'!$I$14</f>
        <v>Northern</v>
      </c>
      <c r="F249">
        <v>0</v>
      </c>
      <c r="G249">
        <v>0</v>
      </c>
      <c r="H249">
        <v>0</v>
      </c>
      <c r="I249">
        <v>0</v>
      </c>
      <c r="J249">
        <v>0</v>
      </c>
      <c r="K249">
        <v>0</v>
      </c>
      <c r="L249">
        <v>0</v>
      </c>
      <c r="M249">
        <v>0</v>
      </c>
      <c r="N249">
        <v>0</v>
      </c>
      <c r="O249">
        <v>0</v>
      </c>
      <c r="P249" s="5">
        <f t="shared" si="35"/>
        <v>0</v>
      </c>
      <c r="Q249">
        <f t="shared" si="36"/>
        <v>0</v>
      </c>
      <c r="R249">
        <f t="shared" si="37"/>
        <v>0</v>
      </c>
      <c r="S249">
        <f t="shared" si="38"/>
        <v>0</v>
      </c>
      <c r="T249">
        <f t="shared" si="39"/>
        <v>0</v>
      </c>
      <c r="U249">
        <f t="shared" si="40"/>
        <v>0</v>
      </c>
      <c r="V249">
        <f t="shared" si="41"/>
        <v>0</v>
      </c>
      <c r="W249">
        <f t="shared" si="42"/>
        <v>0</v>
      </c>
      <c r="X249">
        <f t="shared" si="43"/>
        <v>0</v>
      </c>
      <c r="Y249">
        <f t="shared" si="44"/>
        <v>0</v>
      </c>
      <c r="Z249">
        <f t="shared" si="45"/>
        <v>0</v>
      </c>
      <c r="AA249" t="str">
        <f>INDEX('Priority activities'!$D$5:$D$86,MATCH('Database for analysis'!C249,'Priority activities'!$C$5:$C$86,0))</f>
        <v>Adolescents and youth</v>
      </c>
    </row>
    <row r="250" spans="2:27" ht="16.5" thickTop="1" thickBot="1" x14ac:dyDescent="0.3">
      <c r="B250" t="s">
        <v>147</v>
      </c>
      <c r="C250" s="22" t="str">
        <f>'Costing inputs'!$C$143</f>
        <v>Advocate with youth developmental organizations (D3.2)</v>
      </c>
      <c r="D250" s="22" t="str">
        <f>'Costing inputs'!$U$143</f>
        <v>Central level</v>
      </c>
      <c r="E250" s="22" t="str">
        <f>'Regional splits'!$J$14</f>
        <v>North Western</v>
      </c>
      <c r="F250">
        <v>0</v>
      </c>
      <c r="G250">
        <v>0</v>
      </c>
      <c r="H250">
        <v>0</v>
      </c>
      <c r="I250">
        <v>0</v>
      </c>
      <c r="J250">
        <v>0</v>
      </c>
      <c r="K250">
        <v>0</v>
      </c>
      <c r="L250">
        <v>0</v>
      </c>
      <c r="M250">
        <v>0</v>
      </c>
      <c r="N250">
        <v>0</v>
      </c>
      <c r="O250">
        <v>0</v>
      </c>
      <c r="P250" s="5">
        <f t="shared" si="35"/>
        <v>0</v>
      </c>
      <c r="Q250">
        <f t="shared" si="36"/>
        <v>0</v>
      </c>
      <c r="R250">
        <f t="shared" si="37"/>
        <v>0</v>
      </c>
      <c r="S250">
        <f t="shared" si="38"/>
        <v>0</v>
      </c>
      <c r="T250">
        <f t="shared" si="39"/>
        <v>0</v>
      </c>
      <c r="U250">
        <f t="shared" si="40"/>
        <v>0</v>
      </c>
      <c r="V250">
        <f t="shared" si="41"/>
        <v>0</v>
      </c>
      <c r="W250">
        <f t="shared" si="42"/>
        <v>0</v>
      </c>
      <c r="X250">
        <f t="shared" si="43"/>
        <v>0</v>
      </c>
      <c r="Y250">
        <f t="shared" si="44"/>
        <v>0</v>
      </c>
      <c r="Z250">
        <f t="shared" si="45"/>
        <v>0</v>
      </c>
      <c r="AA250" t="str">
        <f>INDEX('Priority activities'!$D$5:$D$86,MATCH('Database for analysis'!C250,'Priority activities'!$C$5:$C$86,0))</f>
        <v>Adolescents and youth</v>
      </c>
    </row>
    <row r="251" spans="2:27" ht="16.5" thickTop="1" thickBot="1" x14ac:dyDescent="0.3">
      <c r="B251" t="s">
        <v>147</v>
      </c>
      <c r="C251" s="22" t="str">
        <f>'Costing inputs'!$C$143</f>
        <v>Advocate with youth developmental organizations (D3.2)</v>
      </c>
      <c r="D251" s="22" t="str">
        <f>'Costing inputs'!$U$143</f>
        <v>Central level</v>
      </c>
      <c r="E251" s="22" t="str">
        <f>'Regional splits'!$K$14</f>
        <v>Southern</v>
      </c>
      <c r="F251">
        <v>0</v>
      </c>
      <c r="G251">
        <v>0</v>
      </c>
      <c r="H251">
        <v>0</v>
      </c>
      <c r="I251">
        <v>0</v>
      </c>
      <c r="J251">
        <v>0</v>
      </c>
      <c r="K251">
        <v>0</v>
      </c>
      <c r="L251">
        <v>0</v>
      </c>
      <c r="M251">
        <v>0</v>
      </c>
      <c r="N251">
        <v>0</v>
      </c>
      <c r="O251">
        <v>0</v>
      </c>
      <c r="P251" s="5">
        <f t="shared" si="35"/>
        <v>0</v>
      </c>
      <c r="Q251">
        <f t="shared" si="36"/>
        <v>0</v>
      </c>
      <c r="R251">
        <f t="shared" si="37"/>
        <v>0</v>
      </c>
      <c r="S251">
        <f t="shared" si="38"/>
        <v>0</v>
      </c>
      <c r="T251">
        <f t="shared" si="39"/>
        <v>0</v>
      </c>
      <c r="U251">
        <f t="shared" si="40"/>
        <v>0</v>
      </c>
      <c r="V251">
        <f t="shared" si="41"/>
        <v>0</v>
      </c>
      <c r="W251">
        <f t="shared" si="42"/>
        <v>0</v>
      </c>
      <c r="X251">
        <f t="shared" si="43"/>
        <v>0</v>
      </c>
      <c r="Y251">
        <f t="shared" si="44"/>
        <v>0</v>
      </c>
      <c r="Z251">
        <f t="shared" si="45"/>
        <v>0</v>
      </c>
      <c r="AA251" t="str">
        <f>INDEX('Priority activities'!$D$5:$D$86,MATCH('Database for analysis'!C251,'Priority activities'!$C$5:$C$86,0))</f>
        <v>Adolescents and youth</v>
      </c>
    </row>
    <row r="252" spans="2:27" ht="16.5" thickTop="1" thickBot="1" x14ac:dyDescent="0.3">
      <c r="B252" t="s">
        <v>147</v>
      </c>
      <c r="C252" s="22" t="str">
        <f>'Costing inputs'!$C$143</f>
        <v>Advocate with youth developmental organizations (D3.2)</v>
      </c>
      <c r="D252" s="22" t="str">
        <f>'Costing inputs'!$U$143</f>
        <v>Central level</v>
      </c>
      <c r="E252" s="22" t="str">
        <f>'Regional splits'!$L$14</f>
        <v>Western</v>
      </c>
      <c r="F252">
        <v>0</v>
      </c>
      <c r="G252">
        <v>0</v>
      </c>
      <c r="H252">
        <v>0</v>
      </c>
      <c r="I252">
        <v>0</v>
      </c>
      <c r="J252">
        <v>0</v>
      </c>
      <c r="K252">
        <v>0</v>
      </c>
      <c r="L252">
        <v>0</v>
      </c>
      <c r="M252">
        <v>0</v>
      </c>
      <c r="N252">
        <v>0</v>
      </c>
      <c r="O252">
        <v>0</v>
      </c>
      <c r="P252" s="5">
        <f t="shared" si="35"/>
        <v>0</v>
      </c>
      <c r="Q252">
        <f t="shared" si="36"/>
        <v>0</v>
      </c>
      <c r="R252">
        <f t="shared" si="37"/>
        <v>0</v>
      </c>
      <c r="S252">
        <f t="shared" si="38"/>
        <v>0</v>
      </c>
      <c r="T252">
        <f t="shared" si="39"/>
        <v>0</v>
      </c>
      <c r="U252">
        <f t="shared" si="40"/>
        <v>0</v>
      </c>
      <c r="V252">
        <f t="shared" si="41"/>
        <v>0</v>
      </c>
      <c r="W252">
        <f t="shared" si="42"/>
        <v>0</v>
      </c>
      <c r="X252">
        <f t="shared" si="43"/>
        <v>0</v>
      </c>
      <c r="Y252">
        <f t="shared" si="44"/>
        <v>0</v>
      </c>
      <c r="Z252">
        <f t="shared" si="45"/>
        <v>0</v>
      </c>
      <c r="AA252" t="str">
        <f>INDEX('Priority activities'!$D$5:$D$86,MATCH('Database for analysis'!C252,'Priority activities'!$C$5:$C$86,0))</f>
        <v>Adolescents and youth</v>
      </c>
    </row>
    <row r="253" spans="2:27" ht="16.5" thickTop="1" thickBot="1" x14ac:dyDescent="0.3">
      <c r="B253" t="s">
        <v>147</v>
      </c>
      <c r="C253" s="22" t="str">
        <f>'Costing inputs'!$C$143</f>
        <v>Advocate with youth developmental organizations (D3.2)</v>
      </c>
      <c r="D253" s="22" t="str">
        <f>'Costing inputs'!$U$143</f>
        <v>Central level</v>
      </c>
      <c r="E253" s="22">
        <f>'Regional splits'!$M$14</f>
        <v>0</v>
      </c>
      <c r="F253">
        <v>0</v>
      </c>
      <c r="G253">
        <v>0</v>
      </c>
      <c r="H253">
        <v>0</v>
      </c>
      <c r="I253">
        <v>0</v>
      </c>
      <c r="J253">
        <v>0</v>
      </c>
      <c r="K253">
        <v>0</v>
      </c>
      <c r="L253">
        <v>0</v>
      </c>
      <c r="M253">
        <v>0</v>
      </c>
      <c r="N253">
        <v>0</v>
      </c>
      <c r="O253">
        <v>0</v>
      </c>
      <c r="P253" s="5">
        <f t="shared" si="35"/>
        <v>0</v>
      </c>
      <c r="Q253">
        <f t="shared" si="36"/>
        <v>0</v>
      </c>
      <c r="R253">
        <f t="shared" si="37"/>
        <v>0</v>
      </c>
      <c r="S253">
        <f t="shared" si="38"/>
        <v>0</v>
      </c>
      <c r="T253">
        <f t="shared" si="39"/>
        <v>0</v>
      </c>
      <c r="U253">
        <f t="shared" si="40"/>
        <v>0</v>
      </c>
      <c r="V253">
        <f t="shared" si="41"/>
        <v>0</v>
      </c>
      <c r="W253">
        <f t="shared" si="42"/>
        <v>0</v>
      </c>
      <c r="X253">
        <f t="shared" si="43"/>
        <v>0</v>
      </c>
      <c r="Y253">
        <f t="shared" si="44"/>
        <v>0</v>
      </c>
      <c r="Z253">
        <f t="shared" si="45"/>
        <v>0</v>
      </c>
      <c r="AA253" t="str">
        <f>INDEX('Priority activities'!$D$5:$D$86,MATCH('Database for analysis'!C253,'Priority activities'!$C$5:$C$86,0))</f>
        <v>Adolescents and youth</v>
      </c>
    </row>
    <row r="254" spans="2:27" ht="16.5" thickTop="1" thickBot="1" x14ac:dyDescent="0.3">
      <c r="B254" t="s">
        <v>147</v>
      </c>
      <c r="C254" s="22" t="str">
        <f>'Costing inputs'!$C$143</f>
        <v>Advocate with youth developmental organizations (D3.2)</v>
      </c>
      <c r="D254" s="22" t="str">
        <f>'Costing inputs'!$U$143</f>
        <v>Central level</v>
      </c>
      <c r="E254" s="22">
        <f>'Regional splits'!$N$14</f>
        <v>0</v>
      </c>
      <c r="F254">
        <v>0</v>
      </c>
      <c r="G254">
        <v>0</v>
      </c>
      <c r="H254">
        <v>0</v>
      </c>
      <c r="I254">
        <v>0</v>
      </c>
      <c r="J254">
        <v>0</v>
      </c>
      <c r="K254">
        <v>0</v>
      </c>
      <c r="L254">
        <v>0</v>
      </c>
      <c r="M254">
        <v>0</v>
      </c>
      <c r="N254">
        <v>0</v>
      </c>
      <c r="O254">
        <v>0</v>
      </c>
      <c r="P254" s="5">
        <f t="shared" si="35"/>
        <v>0</v>
      </c>
      <c r="Q254">
        <f t="shared" si="36"/>
        <v>0</v>
      </c>
      <c r="R254">
        <f t="shared" si="37"/>
        <v>0</v>
      </c>
      <c r="S254">
        <f t="shared" si="38"/>
        <v>0</v>
      </c>
      <c r="T254">
        <f t="shared" si="39"/>
        <v>0</v>
      </c>
      <c r="U254">
        <f t="shared" si="40"/>
        <v>0</v>
      </c>
      <c r="V254">
        <f t="shared" si="41"/>
        <v>0</v>
      </c>
      <c r="W254">
        <f t="shared" si="42"/>
        <v>0</v>
      </c>
      <c r="X254">
        <f t="shared" si="43"/>
        <v>0</v>
      </c>
      <c r="Y254">
        <f t="shared" si="44"/>
        <v>0</v>
      </c>
      <c r="Z254">
        <f t="shared" si="45"/>
        <v>0</v>
      </c>
      <c r="AA254" t="str">
        <f>INDEX('Priority activities'!$D$5:$D$86,MATCH('Database for analysis'!C254,'Priority activities'!$C$5:$C$86,0))</f>
        <v>Adolescents and youth</v>
      </c>
    </row>
    <row r="255" spans="2:27" ht="16.5" thickTop="1" thickBot="1" x14ac:dyDescent="0.3">
      <c r="B255" t="s">
        <v>147</v>
      </c>
      <c r="C255" s="22" t="str">
        <f>'Costing inputs'!$C$143</f>
        <v>Advocate with youth developmental organizations (D3.2)</v>
      </c>
      <c r="D255" s="22" t="str">
        <f>'Costing inputs'!$U$143</f>
        <v>Central level</v>
      </c>
      <c r="E255" s="22">
        <f>'Regional splits'!$O$14</f>
        <v>0</v>
      </c>
      <c r="F255">
        <v>0</v>
      </c>
      <c r="G255">
        <v>0</v>
      </c>
      <c r="H255">
        <v>0</v>
      </c>
      <c r="I255">
        <v>0</v>
      </c>
      <c r="J255">
        <v>0</v>
      </c>
      <c r="K255">
        <v>0</v>
      </c>
      <c r="L255">
        <v>0</v>
      </c>
      <c r="M255">
        <v>0</v>
      </c>
      <c r="N255">
        <v>0</v>
      </c>
      <c r="O255">
        <v>0</v>
      </c>
      <c r="P255" s="5">
        <f t="shared" si="35"/>
        <v>0</v>
      </c>
      <c r="Q255">
        <f t="shared" si="36"/>
        <v>0</v>
      </c>
      <c r="R255">
        <f t="shared" si="37"/>
        <v>0</v>
      </c>
      <c r="S255">
        <f t="shared" si="38"/>
        <v>0</v>
      </c>
      <c r="T255">
        <f t="shared" si="39"/>
        <v>0</v>
      </c>
      <c r="U255">
        <f t="shared" si="40"/>
        <v>0</v>
      </c>
      <c r="V255">
        <f t="shared" si="41"/>
        <v>0</v>
      </c>
      <c r="W255">
        <f t="shared" si="42"/>
        <v>0</v>
      </c>
      <c r="X255">
        <f t="shared" si="43"/>
        <v>0</v>
      </c>
      <c r="Y255">
        <f t="shared" si="44"/>
        <v>0</v>
      </c>
      <c r="Z255">
        <f t="shared" si="45"/>
        <v>0</v>
      </c>
      <c r="AA255" t="str">
        <f>INDEX('Priority activities'!$D$5:$D$86,MATCH('Database for analysis'!C255,'Priority activities'!$C$5:$C$86,0))</f>
        <v>Adolescents and youth</v>
      </c>
    </row>
    <row r="256" spans="2:27" ht="16.5" thickTop="1" thickBot="1" x14ac:dyDescent="0.3">
      <c r="B256" t="s">
        <v>147</v>
      </c>
      <c r="C256" s="22" t="str">
        <f>'Costing inputs'!$C$143</f>
        <v>Advocate with youth developmental organizations (D3.2)</v>
      </c>
      <c r="D256" s="22" t="str">
        <f>'Costing inputs'!$U$143</f>
        <v>Central level</v>
      </c>
      <c r="E256" s="22">
        <f>'Regional splits'!$P$14</f>
        <v>0</v>
      </c>
      <c r="F256">
        <v>0</v>
      </c>
      <c r="G256">
        <v>0</v>
      </c>
      <c r="H256">
        <v>0</v>
      </c>
      <c r="I256">
        <v>0</v>
      </c>
      <c r="J256">
        <v>0</v>
      </c>
      <c r="K256">
        <v>0</v>
      </c>
      <c r="L256">
        <v>0</v>
      </c>
      <c r="M256">
        <v>0</v>
      </c>
      <c r="N256">
        <v>0</v>
      </c>
      <c r="O256">
        <v>0</v>
      </c>
      <c r="P256" s="5">
        <f t="shared" si="35"/>
        <v>0</v>
      </c>
      <c r="Q256">
        <f t="shared" si="36"/>
        <v>0</v>
      </c>
      <c r="R256">
        <f t="shared" si="37"/>
        <v>0</v>
      </c>
      <c r="S256">
        <f t="shared" si="38"/>
        <v>0</v>
      </c>
      <c r="T256">
        <f t="shared" si="39"/>
        <v>0</v>
      </c>
      <c r="U256">
        <f t="shared" si="40"/>
        <v>0</v>
      </c>
      <c r="V256">
        <f t="shared" si="41"/>
        <v>0</v>
      </c>
      <c r="W256">
        <f t="shared" si="42"/>
        <v>0</v>
      </c>
      <c r="X256">
        <f t="shared" si="43"/>
        <v>0</v>
      </c>
      <c r="Y256">
        <f t="shared" si="44"/>
        <v>0</v>
      </c>
      <c r="Z256">
        <f t="shared" si="45"/>
        <v>0</v>
      </c>
      <c r="AA256" t="str">
        <f>INDEX('Priority activities'!$D$5:$D$86,MATCH('Database for analysis'!C256,'Priority activities'!$C$5:$C$86,0))</f>
        <v>Adolescents and youth</v>
      </c>
    </row>
    <row r="257" spans="2:27" ht="16.5" thickTop="1" thickBot="1" x14ac:dyDescent="0.3">
      <c r="B257" t="s">
        <v>147</v>
      </c>
      <c r="C257" s="22" t="str">
        <f>'Costing inputs'!$C$143</f>
        <v>Advocate with youth developmental organizations (D3.2)</v>
      </c>
      <c r="D257" s="22" t="str">
        <f>'Costing inputs'!$U$143</f>
        <v>Central level</v>
      </c>
      <c r="E257" s="22">
        <f>'Regional splits'!$Q$14</f>
        <v>0</v>
      </c>
      <c r="F257">
        <v>0</v>
      </c>
      <c r="G257">
        <v>0</v>
      </c>
      <c r="H257">
        <v>0</v>
      </c>
      <c r="I257">
        <v>0</v>
      </c>
      <c r="J257">
        <v>0</v>
      </c>
      <c r="K257">
        <v>0</v>
      </c>
      <c r="L257">
        <v>0</v>
      </c>
      <c r="M257">
        <v>0</v>
      </c>
      <c r="N257">
        <v>0</v>
      </c>
      <c r="O257">
        <v>0</v>
      </c>
      <c r="P257" s="5">
        <f t="shared" si="35"/>
        <v>0</v>
      </c>
      <c r="Q257">
        <f t="shared" si="36"/>
        <v>0</v>
      </c>
      <c r="R257">
        <f t="shared" si="37"/>
        <v>0</v>
      </c>
      <c r="S257">
        <f t="shared" si="38"/>
        <v>0</v>
      </c>
      <c r="T257">
        <f t="shared" si="39"/>
        <v>0</v>
      </c>
      <c r="U257">
        <f t="shared" si="40"/>
        <v>0</v>
      </c>
      <c r="V257">
        <f t="shared" si="41"/>
        <v>0</v>
      </c>
      <c r="W257">
        <f t="shared" si="42"/>
        <v>0</v>
      </c>
      <c r="X257">
        <f t="shared" si="43"/>
        <v>0</v>
      </c>
      <c r="Y257">
        <f t="shared" si="44"/>
        <v>0</v>
      </c>
      <c r="Z257">
        <f t="shared" si="45"/>
        <v>0</v>
      </c>
      <c r="AA257" t="str">
        <f>INDEX('Priority activities'!$D$5:$D$86,MATCH('Database for analysis'!C257,'Priority activities'!$C$5:$C$86,0))</f>
        <v>Adolescents and youth</v>
      </c>
    </row>
    <row r="258" spans="2:27" ht="16.5" thickTop="1" thickBot="1" x14ac:dyDescent="0.3">
      <c r="B258" t="s">
        <v>147</v>
      </c>
      <c r="C258" s="22" t="str">
        <f>'Costing inputs'!$C$143</f>
        <v>Advocate with youth developmental organizations (D3.2)</v>
      </c>
      <c r="D258" s="22" t="str">
        <f>'Costing inputs'!$U$143</f>
        <v>Central level</v>
      </c>
      <c r="E258" s="22" t="str">
        <f>'Regional splits'!$R$14</f>
        <v>National-level</v>
      </c>
      <c r="F258">
        <v>44460.303999999996</v>
      </c>
      <c r="G258">
        <v>44460.303999999996</v>
      </c>
      <c r="H258">
        <v>44460.303999999996</v>
      </c>
      <c r="I258">
        <v>44460.303999999996</v>
      </c>
      <c r="J258">
        <v>44460.303999999996</v>
      </c>
      <c r="K258">
        <v>44460.303999999996</v>
      </c>
      <c r="L258">
        <v>44460.303999999996</v>
      </c>
      <c r="M258">
        <v>44460.303999999996</v>
      </c>
      <c r="N258">
        <v>0</v>
      </c>
      <c r="O258">
        <v>0</v>
      </c>
      <c r="P258" s="5">
        <f t="shared" si="35"/>
        <v>355682.43199999997</v>
      </c>
      <c r="Q258">
        <f t="shared" si="36"/>
        <v>44460.303999999996</v>
      </c>
      <c r="R258">
        <f t="shared" si="37"/>
        <v>44460.303999999996</v>
      </c>
      <c r="S258">
        <f t="shared" si="38"/>
        <v>44460.303999999996</v>
      </c>
      <c r="T258">
        <f t="shared" si="39"/>
        <v>44460.303999999996</v>
      </c>
      <c r="U258">
        <f t="shared" si="40"/>
        <v>44460.303999999996</v>
      </c>
      <c r="V258">
        <f t="shared" si="41"/>
        <v>44460.303999999996</v>
      </c>
      <c r="W258">
        <f t="shared" si="42"/>
        <v>44460.303999999996</v>
      </c>
      <c r="X258">
        <f t="shared" si="43"/>
        <v>44460.303999999996</v>
      </c>
      <c r="Y258">
        <f t="shared" si="44"/>
        <v>0</v>
      </c>
      <c r="Z258">
        <f t="shared" si="45"/>
        <v>0</v>
      </c>
      <c r="AA258" t="str">
        <f>INDEX('Priority activities'!$D$5:$D$86,MATCH('Database for analysis'!C258,'Priority activities'!$C$5:$C$86,0))</f>
        <v>Adolescents and youth</v>
      </c>
    </row>
    <row r="259" spans="2:27" ht="16.5" thickTop="1" thickBot="1" x14ac:dyDescent="0.3">
      <c r="B259" t="s">
        <v>195</v>
      </c>
      <c r="C259" s="22" t="str">
        <f>'Costing inputs'!$C$149</f>
        <v>Pre-service training - curriculum review (SDA5.1)</v>
      </c>
      <c r="D259" s="22" t="str">
        <f>'Costing inputs'!$U$149</f>
        <v>Central level</v>
      </c>
      <c r="E259" s="22" t="str">
        <f>'Regional splits'!$C$14</f>
        <v>Central</v>
      </c>
      <c r="F259">
        <f t="array" ref="F259:O274">'Costing inputs'!S149*'Costing inputs'!AP149:AY149*TRANSPOSE('Costing inputs'!W149:AL149)</f>
        <v>0</v>
      </c>
      <c r="G259">
        <v>0</v>
      </c>
      <c r="H259">
        <v>0</v>
      </c>
      <c r="I259">
        <v>0</v>
      </c>
      <c r="J259">
        <v>0</v>
      </c>
      <c r="K259">
        <v>0</v>
      </c>
      <c r="L259">
        <v>0</v>
      </c>
      <c r="M259">
        <v>0</v>
      </c>
      <c r="N259">
        <v>0</v>
      </c>
      <c r="O259">
        <v>0</v>
      </c>
      <c r="P259" s="5">
        <f t="shared" si="35"/>
        <v>0</v>
      </c>
      <c r="Q259">
        <f t="shared" si="36"/>
        <v>0</v>
      </c>
      <c r="R259">
        <f t="shared" si="37"/>
        <v>0</v>
      </c>
      <c r="S259">
        <f t="shared" si="38"/>
        <v>0</v>
      </c>
      <c r="T259">
        <f t="shared" si="39"/>
        <v>0</v>
      </c>
      <c r="U259">
        <f t="shared" si="40"/>
        <v>0</v>
      </c>
      <c r="V259">
        <f t="shared" si="41"/>
        <v>0</v>
      </c>
      <c r="W259">
        <f t="shared" si="42"/>
        <v>0</v>
      </c>
      <c r="X259">
        <f t="shared" si="43"/>
        <v>0</v>
      </c>
      <c r="Y259">
        <f t="shared" si="44"/>
        <v>0</v>
      </c>
      <c r="Z259">
        <f t="shared" si="45"/>
        <v>0</v>
      </c>
      <c r="AA259" t="str">
        <f>INDEX('Priority activities'!$D$5:$D$86,MATCH('Database for analysis'!C259,'Priority activities'!$C$5:$C$86,0))</f>
        <v>Staff and training</v>
      </c>
    </row>
    <row r="260" spans="2:27" ht="16.5" thickTop="1" thickBot="1" x14ac:dyDescent="0.3">
      <c r="B260" t="s">
        <v>195</v>
      </c>
      <c r="C260" s="22" t="str">
        <f>'Costing inputs'!$C$149</f>
        <v>Pre-service training - curriculum review (SDA5.1)</v>
      </c>
      <c r="D260" s="22" t="str">
        <f>'Costing inputs'!$U$149</f>
        <v>Central level</v>
      </c>
      <c r="E260" s="22" t="str">
        <f>'Regional splits'!$D$14</f>
        <v>Copperbelt</v>
      </c>
      <c r="F260">
        <v>0</v>
      </c>
      <c r="G260">
        <v>0</v>
      </c>
      <c r="H260">
        <v>0</v>
      </c>
      <c r="I260">
        <v>0</v>
      </c>
      <c r="J260">
        <v>0</v>
      </c>
      <c r="K260">
        <v>0</v>
      </c>
      <c r="L260">
        <v>0</v>
      </c>
      <c r="M260">
        <v>0</v>
      </c>
      <c r="N260">
        <v>0</v>
      </c>
      <c r="O260">
        <v>0</v>
      </c>
      <c r="P260" s="5">
        <f t="shared" ref="P260:P323" si="46">SUMIF(F260:O260,"&lt;&gt;#N/A")</f>
        <v>0</v>
      </c>
      <c r="Q260">
        <f t="shared" ref="Q260:Q323" si="47">IF(ISNA(F260),0,F260)</f>
        <v>0</v>
      </c>
      <c r="R260">
        <f t="shared" ref="R260:R323" si="48">IF(ISNA(G260),0,G260)</f>
        <v>0</v>
      </c>
      <c r="S260">
        <f t="shared" ref="S260:S323" si="49">IF(ISNA(H260),0,H260)</f>
        <v>0</v>
      </c>
      <c r="T260">
        <f t="shared" ref="T260:T323" si="50">IF(ISNA(I260),0,I260)</f>
        <v>0</v>
      </c>
      <c r="U260">
        <f t="shared" ref="U260:U323" si="51">IF(ISNA(J260),0,J260)</f>
        <v>0</v>
      </c>
      <c r="V260">
        <f t="shared" ref="V260:V323" si="52">IF(ISNA(K260),0,K260)</f>
        <v>0</v>
      </c>
      <c r="W260">
        <f t="shared" ref="W260:W323" si="53">IF(ISNA(L260),0,L260)</f>
        <v>0</v>
      </c>
      <c r="X260">
        <f t="shared" ref="X260:X323" si="54">IF(ISNA(M260),0,M260)</f>
        <v>0</v>
      </c>
      <c r="Y260">
        <f t="shared" ref="Y260:Y323" si="55">IF(ISNA(N260),0,N260)</f>
        <v>0</v>
      </c>
      <c r="Z260">
        <f t="shared" ref="Z260:Z323" si="56">IF(ISNA(O260),0,O260)</f>
        <v>0</v>
      </c>
      <c r="AA260" t="str">
        <f>INDEX('Priority activities'!$D$5:$D$86,MATCH('Database for analysis'!C260,'Priority activities'!$C$5:$C$86,0))</f>
        <v>Staff and training</v>
      </c>
    </row>
    <row r="261" spans="2:27" ht="16.5" thickTop="1" thickBot="1" x14ac:dyDescent="0.3">
      <c r="B261" t="s">
        <v>195</v>
      </c>
      <c r="C261" s="22" t="str">
        <f>'Costing inputs'!$C$149</f>
        <v>Pre-service training - curriculum review (SDA5.1)</v>
      </c>
      <c r="D261" s="22" t="str">
        <f>'Costing inputs'!$U$149</f>
        <v>Central level</v>
      </c>
      <c r="E261" s="22" t="str">
        <f>'Regional splits'!$E$14</f>
        <v>Eastern</v>
      </c>
      <c r="F261">
        <v>0</v>
      </c>
      <c r="G261">
        <v>0</v>
      </c>
      <c r="H261">
        <v>0</v>
      </c>
      <c r="I261">
        <v>0</v>
      </c>
      <c r="J261">
        <v>0</v>
      </c>
      <c r="K261">
        <v>0</v>
      </c>
      <c r="L261">
        <v>0</v>
      </c>
      <c r="M261">
        <v>0</v>
      </c>
      <c r="N261">
        <v>0</v>
      </c>
      <c r="O261">
        <v>0</v>
      </c>
      <c r="P261" s="5">
        <f t="shared" si="46"/>
        <v>0</v>
      </c>
      <c r="Q261">
        <f t="shared" si="47"/>
        <v>0</v>
      </c>
      <c r="R261">
        <f t="shared" si="48"/>
        <v>0</v>
      </c>
      <c r="S261">
        <f t="shared" si="49"/>
        <v>0</v>
      </c>
      <c r="T261">
        <f t="shared" si="50"/>
        <v>0</v>
      </c>
      <c r="U261">
        <f t="shared" si="51"/>
        <v>0</v>
      </c>
      <c r="V261">
        <f t="shared" si="52"/>
        <v>0</v>
      </c>
      <c r="W261">
        <f t="shared" si="53"/>
        <v>0</v>
      </c>
      <c r="X261">
        <f t="shared" si="54"/>
        <v>0</v>
      </c>
      <c r="Y261">
        <f t="shared" si="55"/>
        <v>0</v>
      </c>
      <c r="Z261">
        <f t="shared" si="56"/>
        <v>0</v>
      </c>
      <c r="AA261" t="str">
        <f>INDEX('Priority activities'!$D$5:$D$86,MATCH('Database for analysis'!C261,'Priority activities'!$C$5:$C$86,0))</f>
        <v>Staff and training</v>
      </c>
    </row>
    <row r="262" spans="2:27" ht="16.5" thickTop="1" thickBot="1" x14ac:dyDescent="0.3">
      <c r="B262" t="s">
        <v>195</v>
      </c>
      <c r="C262" s="22" t="str">
        <f>'Costing inputs'!$C$149</f>
        <v>Pre-service training - curriculum review (SDA5.1)</v>
      </c>
      <c r="D262" s="22" t="str">
        <f>'Costing inputs'!$U$149</f>
        <v>Central level</v>
      </c>
      <c r="E262" s="22" t="str">
        <f>'Regional splits'!$F$14</f>
        <v>Luapula</v>
      </c>
      <c r="F262">
        <v>0</v>
      </c>
      <c r="G262">
        <v>0</v>
      </c>
      <c r="H262">
        <v>0</v>
      </c>
      <c r="I262">
        <v>0</v>
      </c>
      <c r="J262">
        <v>0</v>
      </c>
      <c r="K262">
        <v>0</v>
      </c>
      <c r="L262">
        <v>0</v>
      </c>
      <c r="M262">
        <v>0</v>
      </c>
      <c r="N262">
        <v>0</v>
      </c>
      <c r="O262">
        <v>0</v>
      </c>
      <c r="P262" s="5">
        <f t="shared" si="46"/>
        <v>0</v>
      </c>
      <c r="Q262">
        <f t="shared" si="47"/>
        <v>0</v>
      </c>
      <c r="R262">
        <f t="shared" si="48"/>
        <v>0</v>
      </c>
      <c r="S262">
        <f t="shared" si="49"/>
        <v>0</v>
      </c>
      <c r="T262">
        <f t="shared" si="50"/>
        <v>0</v>
      </c>
      <c r="U262">
        <f t="shared" si="51"/>
        <v>0</v>
      </c>
      <c r="V262">
        <f t="shared" si="52"/>
        <v>0</v>
      </c>
      <c r="W262">
        <f t="shared" si="53"/>
        <v>0</v>
      </c>
      <c r="X262">
        <f t="shared" si="54"/>
        <v>0</v>
      </c>
      <c r="Y262">
        <f t="shared" si="55"/>
        <v>0</v>
      </c>
      <c r="Z262">
        <f t="shared" si="56"/>
        <v>0</v>
      </c>
      <c r="AA262" t="str">
        <f>INDEX('Priority activities'!$D$5:$D$86,MATCH('Database for analysis'!C262,'Priority activities'!$C$5:$C$86,0))</f>
        <v>Staff and training</v>
      </c>
    </row>
    <row r="263" spans="2:27" ht="16.5" thickTop="1" thickBot="1" x14ac:dyDescent="0.3">
      <c r="B263" t="s">
        <v>195</v>
      </c>
      <c r="C263" s="22" t="str">
        <f>'Costing inputs'!$C$149</f>
        <v>Pre-service training - curriculum review (SDA5.1)</v>
      </c>
      <c r="D263" s="22" t="str">
        <f>'Costing inputs'!$U$149</f>
        <v>Central level</v>
      </c>
      <c r="E263" s="22" t="str">
        <f>'Regional splits'!$G$14</f>
        <v>Lusaka</v>
      </c>
      <c r="F263">
        <v>0</v>
      </c>
      <c r="G263">
        <v>0</v>
      </c>
      <c r="H263">
        <v>0</v>
      </c>
      <c r="I263">
        <v>0</v>
      </c>
      <c r="J263">
        <v>0</v>
      </c>
      <c r="K263">
        <v>0</v>
      </c>
      <c r="L263">
        <v>0</v>
      </c>
      <c r="M263">
        <v>0</v>
      </c>
      <c r="N263">
        <v>0</v>
      </c>
      <c r="O263">
        <v>0</v>
      </c>
      <c r="P263" s="5">
        <f t="shared" si="46"/>
        <v>0</v>
      </c>
      <c r="Q263">
        <f t="shared" si="47"/>
        <v>0</v>
      </c>
      <c r="R263">
        <f t="shared" si="48"/>
        <v>0</v>
      </c>
      <c r="S263">
        <f t="shared" si="49"/>
        <v>0</v>
      </c>
      <c r="T263">
        <f t="shared" si="50"/>
        <v>0</v>
      </c>
      <c r="U263">
        <f t="shared" si="51"/>
        <v>0</v>
      </c>
      <c r="V263">
        <f t="shared" si="52"/>
        <v>0</v>
      </c>
      <c r="W263">
        <f t="shared" si="53"/>
        <v>0</v>
      </c>
      <c r="X263">
        <f t="shared" si="54"/>
        <v>0</v>
      </c>
      <c r="Y263">
        <f t="shared" si="55"/>
        <v>0</v>
      </c>
      <c r="Z263">
        <f t="shared" si="56"/>
        <v>0</v>
      </c>
      <c r="AA263" t="str">
        <f>INDEX('Priority activities'!$D$5:$D$86,MATCH('Database for analysis'!C263,'Priority activities'!$C$5:$C$86,0))</f>
        <v>Staff and training</v>
      </c>
    </row>
    <row r="264" spans="2:27" ht="16.5" thickTop="1" thickBot="1" x14ac:dyDescent="0.3">
      <c r="B264" t="s">
        <v>195</v>
      </c>
      <c r="C264" s="22" t="str">
        <f>'Costing inputs'!$C$149</f>
        <v>Pre-service training - curriculum review (SDA5.1)</v>
      </c>
      <c r="D264" s="22" t="str">
        <f>'Costing inputs'!$U$149</f>
        <v>Central level</v>
      </c>
      <c r="E264" s="22" t="str">
        <f>'Regional splits'!$H$14</f>
        <v>Muchinga</v>
      </c>
      <c r="F264">
        <v>0</v>
      </c>
      <c r="G264">
        <v>0</v>
      </c>
      <c r="H264">
        <v>0</v>
      </c>
      <c r="I264">
        <v>0</v>
      </c>
      <c r="J264">
        <v>0</v>
      </c>
      <c r="K264">
        <v>0</v>
      </c>
      <c r="L264">
        <v>0</v>
      </c>
      <c r="M264">
        <v>0</v>
      </c>
      <c r="N264">
        <v>0</v>
      </c>
      <c r="O264">
        <v>0</v>
      </c>
      <c r="P264" s="5">
        <f t="shared" si="46"/>
        <v>0</v>
      </c>
      <c r="Q264">
        <f t="shared" si="47"/>
        <v>0</v>
      </c>
      <c r="R264">
        <f t="shared" si="48"/>
        <v>0</v>
      </c>
      <c r="S264">
        <f t="shared" si="49"/>
        <v>0</v>
      </c>
      <c r="T264">
        <f t="shared" si="50"/>
        <v>0</v>
      </c>
      <c r="U264">
        <f t="shared" si="51"/>
        <v>0</v>
      </c>
      <c r="V264">
        <f t="shared" si="52"/>
        <v>0</v>
      </c>
      <c r="W264">
        <f t="shared" si="53"/>
        <v>0</v>
      </c>
      <c r="X264">
        <f t="shared" si="54"/>
        <v>0</v>
      </c>
      <c r="Y264">
        <f t="shared" si="55"/>
        <v>0</v>
      </c>
      <c r="Z264">
        <f t="shared" si="56"/>
        <v>0</v>
      </c>
      <c r="AA264" t="str">
        <f>INDEX('Priority activities'!$D$5:$D$86,MATCH('Database for analysis'!C264,'Priority activities'!$C$5:$C$86,0))</f>
        <v>Staff and training</v>
      </c>
    </row>
    <row r="265" spans="2:27" ht="16.5" thickTop="1" thickBot="1" x14ac:dyDescent="0.3">
      <c r="B265" t="s">
        <v>195</v>
      </c>
      <c r="C265" s="22" t="str">
        <f>'Costing inputs'!$C$149</f>
        <v>Pre-service training - curriculum review (SDA5.1)</v>
      </c>
      <c r="D265" s="22" t="str">
        <f>'Costing inputs'!$U$149</f>
        <v>Central level</v>
      </c>
      <c r="E265" s="22" t="str">
        <f>'Regional splits'!$I$14</f>
        <v>Northern</v>
      </c>
      <c r="F265">
        <v>0</v>
      </c>
      <c r="G265">
        <v>0</v>
      </c>
      <c r="H265">
        <v>0</v>
      </c>
      <c r="I265">
        <v>0</v>
      </c>
      <c r="J265">
        <v>0</v>
      </c>
      <c r="K265">
        <v>0</v>
      </c>
      <c r="L265">
        <v>0</v>
      </c>
      <c r="M265">
        <v>0</v>
      </c>
      <c r="N265">
        <v>0</v>
      </c>
      <c r="O265">
        <v>0</v>
      </c>
      <c r="P265" s="5">
        <f t="shared" si="46"/>
        <v>0</v>
      </c>
      <c r="Q265">
        <f t="shared" si="47"/>
        <v>0</v>
      </c>
      <c r="R265">
        <f t="shared" si="48"/>
        <v>0</v>
      </c>
      <c r="S265">
        <f t="shared" si="49"/>
        <v>0</v>
      </c>
      <c r="T265">
        <f t="shared" si="50"/>
        <v>0</v>
      </c>
      <c r="U265">
        <f t="shared" si="51"/>
        <v>0</v>
      </c>
      <c r="V265">
        <f t="shared" si="52"/>
        <v>0</v>
      </c>
      <c r="W265">
        <f t="shared" si="53"/>
        <v>0</v>
      </c>
      <c r="X265">
        <f t="shared" si="54"/>
        <v>0</v>
      </c>
      <c r="Y265">
        <f t="shared" si="55"/>
        <v>0</v>
      </c>
      <c r="Z265">
        <f t="shared" si="56"/>
        <v>0</v>
      </c>
      <c r="AA265" t="str">
        <f>INDEX('Priority activities'!$D$5:$D$86,MATCH('Database for analysis'!C265,'Priority activities'!$C$5:$C$86,0))</f>
        <v>Staff and training</v>
      </c>
    </row>
    <row r="266" spans="2:27" ht="16.5" thickTop="1" thickBot="1" x14ac:dyDescent="0.3">
      <c r="B266" t="s">
        <v>195</v>
      </c>
      <c r="C266" s="22" t="str">
        <f>'Costing inputs'!$C$149</f>
        <v>Pre-service training - curriculum review (SDA5.1)</v>
      </c>
      <c r="D266" s="22" t="str">
        <f>'Costing inputs'!$U$149</f>
        <v>Central level</v>
      </c>
      <c r="E266" s="22" t="str">
        <f>'Regional splits'!$J$14</f>
        <v>North Western</v>
      </c>
      <c r="F266">
        <v>0</v>
      </c>
      <c r="G266">
        <v>0</v>
      </c>
      <c r="H266">
        <v>0</v>
      </c>
      <c r="I266">
        <v>0</v>
      </c>
      <c r="J266">
        <v>0</v>
      </c>
      <c r="K266">
        <v>0</v>
      </c>
      <c r="L266">
        <v>0</v>
      </c>
      <c r="M266">
        <v>0</v>
      </c>
      <c r="N266">
        <v>0</v>
      </c>
      <c r="O266">
        <v>0</v>
      </c>
      <c r="P266" s="5">
        <f t="shared" si="46"/>
        <v>0</v>
      </c>
      <c r="Q266">
        <f t="shared" si="47"/>
        <v>0</v>
      </c>
      <c r="R266">
        <f t="shared" si="48"/>
        <v>0</v>
      </c>
      <c r="S266">
        <f t="shared" si="49"/>
        <v>0</v>
      </c>
      <c r="T266">
        <f t="shared" si="50"/>
        <v>0</v>
      </c>
      <c r="U266">
        <f t="shared" si="51"/>
        <v>0</v>
      </c>
      <c r="V266">
        <f t="shared" si="52"/>
        <v>0</v>
      </c>
      <c r="W266">
        <f t="shared" si="53"/>
        <v>0</v>
      </c>
      <c r="X266">
        <f t="shared" si="54"/>
        <v>0</v>
      </c>
      <c r="Y266">
        <f t="shared" si="55"/>
        <v>0</v>
      </c>
      <c r="Z266">
        <f t="shared" si="56"/>
        <v>0</v>
      </c>
      <c r="AA266" t="str">
        <f>INDEX('Priority activities'!$D$5:$D$86,MATCH('Database for analysis'!C266,'Priority activities'!$C$5:$C$86,0))</f>
        <v>Staff and training</v>
      </c>
    </row>
    <row r="267" spans="2:27" ht="16.5" thickTop="1" thickBot="1" x14ac:dyDescent="0.3">
      <c r="B267" t="s">
        <v>195</v>
      </c>
      <c r="C267" s="22" t="str">
        <f>'Costing inputs'!$C$149</f>
        <v>Pre-service training - curriculum review (SDA5.1)</v>
      </c>
      <c r="D267" s="22" t="str">
        <f>'Costing inputs'!$U$149</f>
        <v>Central level</v>
      </c>
      <c r="E267" s="22" t="str">
        <f>'Regional splits'!$K$14</f>
        <v>Southern</v>
      </c>
      <c r="F267">
        <v>0</v>
      </c>
      <c r="G267">
        <v>0</v>
      </c>
      <c r="H267">
        <v>0</v>
      </c>
      <c r="I267">
        <v>0</v>
      </c>
      <c r="J267">
        <v>0</v>
      </c>
      <c r="K267">
        <v>0</v>
      </c>
      <c r="L267">
        <v>0</v>
      </c>
      <c r="M267">
        <v>0</v>
      </c>
      <c r="N267">
        <v>0</v>
      </c>
      <c r="O267">
        <v>0</v>
      </c>
      <c r="P267" s="5">
        <f t="shared" si="46"/>
        <v>0</v>
      </c>
      <c r="Q267">
        <f t="shared" si="47"/>
        <v>0</v>
      </c>
      <c r="R267">
        <f t="shared" si="48"/>
        <v>0</v>
      </c>
      <c r="S267">
        <f t="shared" si="49"/>
        <v>0</v>
      </c>
      <c r="T267">
        <f t="shared" si="50"/>
        <v>0</v>
      </c>
      <c r="U267">
        <f t="shared" si="51"/>
        <v>0</v>
      </c>
      <c r="V267">
        <f t="shared" si="52"/>
        <v>0</v>
      </c>
      <c r="W267">
        <f t="shared" si="53"/>
        <v>0</v>
      </c>
      <c r="X267">
        <f t="shared" si="54"/>
        <v>0</v>
      </c>
      <c r="Y267">
        <f t="shared" si="55"/>
        <v>0</v>
      </c>
      <c r="Z267">
        <f t="shared" si="56"/>
        <v>0</v>
      </c>
      <c r="AA267" t="str">
        <f>INDEX('Priority activities'!$D$5:$D$86,MATCH('Database for analysis'!C267,'Priority activities'!$C$5:$C$86,0))</f>
        <v>Staff and training</v>
      </c>
    </row>
    <row r="268" spans="2:27" ht="16.5" thickTop="1" thickBot="1" x14ac:dyDescent="0.3">
      <c r="B268" t="s">
        <v>195</v>
      </c>
      <c r="C268" s="22" t="str">
        <f>'Costing inputs'!$C$149</f>
        <v>Pre-service training - curriculum review (SDA5.1)</v>
      </c>
      <c r="D268" s="22" t="str">
        <f>'Costing inputs'!$U$149</f>
        <v>Central level</v>
      </c>
      <c r="E268" s="22" t="str">
        <f>'Regional splits'!$L$14</f>
        <v>Western</v>
      </c>
      <c r="F268">
        <v>0</v>
      </c>
      <c r="G268">
        <v>0</v>
      </c>
      <c r="H268">
        <v>0</v>
      </c>
      <c r="I268">
        <v>0</v>
      </c>
      <c r="J268">
        <v>0</v>
      </c>
      <c r="K268">
        <v>0</v>
      </c>
      <c r="L268">
        <v>0</v>
      </c>
      <c r="M268">
        <v>0</v>
      </c>
      <c r="N268">
        <v>0</v>
      </c>
      <c r="O268">
        <v>0</v>
      </c>
      <c r="P268" s="5">
        <f t="shared" si="46"/>
        <v>0</v>
      </c>
      <c r="Q268">
        <f t="shared" si="47"/>
        <v>0</v>
      </c>
      <c r="R268">
        <f t="shared" si="48"/>
        <v>0</v>
      </c>
      <c r="S268">
        <f t="shared" si="49"/>
        <v>0</v>
      </c>
      <c r="T268">
        <f t="shared" si="50"/>
        <v>0</v>
      </c>
      <c r="U268">
        <f t="shared" si="51"/>
        <v>0</v>
      </c>
      <c r="V268">
        <f t="shared" si="52"/>
        <v>0</v>
      </c>
      <c r="W268">
        <f t="shared" si="53"/>
        <v>0</v>
      </c>
      <c r="X268">
        <f t="shared" si="54"/>
        <v>0</v>
      </c>
      <c r="Y268">
        <f t="shared" si="55"/>
        <v>0</v>
      </c>
      <c r="Z268">
        <f t="shared" si="56"/>
        <v>0</v>
      </c>
      <c r="AA268" t="str">
        <f>INDEX('Priority activities'!$D$5:$D$86,MATCH('Database for analysis'!C268,'Priority activities'!$C$5:$C$86,0))</f>
        <v>Staff and training</v>
      </c>
    </row>
    <row r="269" spans="2:27" ht="16.5" thickTop="1" thickBot="1" x14ac:dyDescent="0.3">
      <c r="B269" t="s">
        <v>195</v>
      </c>
      <c r="C269" s="22" t="str">
        <f>'Costing inputs'!$C$149</f>
        <v>Pre-service training - curriculum review (SDA5.1)</v>
      </c>
      <c r="D269" s="22" t="str">
        <f>'Costing inputs'!$U$149</f>
        <v>Central level</v>
      </c>
      <c r="E269" s="22">
        <f>'Regional splits'!$M$14</f>
        <v>0</v>
      </c>
      <c r="F269">
        <v>0</v>
      </c>
      <c r="G269">
        <v>0</v>
      </c>
      <c r="H269">
        <v>0</v>
      </c>
      <c r="I269">
        <v>0</v>
      </c>
      <c r="J269">
        <v>0</v>
      </c>
      <c r="K269">
        <v>0</v>
      </c>
      <c r="L269">
        <v>0</v>
      </c>
      <c r="M269">
        <v>0</v>
      </c>
      <c r="N269">
        <v>0</v>
      </c>
      <c r="O269">
        <v>0</v>
      </c>
      <c r="P269" s="5">
        <f t="shared" si="46"/>
        <v>0</v>
      </c>
      <c r="Q269">
        <f t="shared" si="47"/>
        <v>0</v>
      </c>
      <c r="R269">
        <f t="shared" si="48"/>
        <v>0</v>
      </c>
      <c r="S269">
        <f t="shared" si="49"/>
        <v>0</v>
      </c>
      <c r="T269">
        <f t="shared" si="50"/>
        <v>0</v>
      </c>
      <c r="U269">
        <f t="shared" si="51"/>
        <v>0</v>
      </c>
      <c r="V269">
        <f t="shared" si="52"/>
        <v>0</v>
      </c>
      <c r="W269">
        <f t="shared" si="53"/>
        <v>0</v>
      </c>
      <c r="X269">
        <f t="shared" si="54"/>
        <v>0</v>
      </c>
      <c r="Y269">
        <f t="shared" si="55"/>
        <v>0</v>
      </c>
      <c r="Z269">
        <f t="shared" si="56"/>
        <v>0</v>
      </c>
      <c r="AA269" t="str">
        <f>INDEX('Priority activities'!$D$5:$D$86,MATCH('Database for analysis'!C269,'Priority activities'!$C$5:$C$86,0))</f>
        <v>Staff and training</v>
      </c>
    </row>
    <row r="270" spans="2:27" ht="16.5" thickTop="1" thickBot="1" x14ac:dyDescent="0.3">
      <c r="B270" t="s">
        <v>195</v>
      </c>
      <c r="C270" s="22" t="str">
        <f>'Costing inputs'!$C$149</f>
        <v>Pre-service training - curriculum review (SDA5.1)</v>
      </c>
      <c r="D270" s="22" t="str">
        <f>'Costing inputs'!$U$149</f>
        <v>Central level</v>
      </c>
      <c r="E270" s="22">
        <f>'Regional splits'!$N$14</f>
        <v>0</v>
      </c>
      <c r="F270">
        <v>0</v>
      </c>
      <c r="G270">
        <v>0</v>
      </c>
      <c r="H270">
        <v>0</v>
      </c>
      <c r="I270">
        <v>0</v>
      </c>
      <c r="J270">
        <v>0</v>
      </c>
      <c r="K270">
        <v>0</v>
      </c>
      <c r="L270">
        <v>0</v>
      </c>
      <c r="M270">
        <v>0</v>
      </c>
      <c r="N270">
        <v>0</v>
      </c>
      <c r="O270">
        <v>0</v>
      </c>
      <c r="P270" s="5">
        <f t="shared" si="46"/>
        <v>0</v>
      </c>
      <c r="Q270">
        <f t="shared" si="47"/>
        <v>0</v>
      </c>
      <c r="R270">
        <f t="shared" si="48"/>
        <v>0</v>
      </c>
      <c r="S270">
        <f t="shared" si="49"/>
        <v>0</v>
      </c>
      <c r="T270">
        <f t="shared" si="50"/>
        <v>0</v>
      </c>
      <c r="U270">
        <f t="shared" si="51"/>
        <v>0</v>
      </c>
      <c r="V270">
        <f t="shared" si="52"/>
        <v>0</v>
      </c>
      <c r="W270">
        <f t="shared" si="53"/>
        <v>0</v>
      </c>
      <c r="X270">
        <f t="shared" si="54"/>
        <v>0</v>
      </c>
      <c r="Y270">
        <f t="shared" si="55"/>
        <v>0</v>
      </c>
      <c r="Z270">
        <f t="shared" si="56"/>
        <v>0</v>
      </c>
      <c r="AA270" t="str">
        <f>INDEX('Priority activities'!$D$5:$D$86,MATCH('Database for analysis'!C270,'Priority activities'!$C$5:$C$86,0))</f>
        <v>Staff and training</v>
      </c>
    </row>
    <row r="271" spans="2:27" ht="16.5" thickTop="1" thickBot="1" x14ac:dyDescent="0.3">
      <c r="B271" t="s">
        <v>195</v>
      </c>
      <c r="C271" s="22" t="str">
        <f>'Costing inputs'!$C$149</f>
        <v>Pre-service training - curriculum review (SDA5.1)</v>
      </c>
      <c r="D271" s="22" t="str">
        <f>'Costing inputs'!$U$149</f>
        <v>Central level</v>
      </c>
      <c r="E271" s="22">
        <f>'Regional splits'!$O$14</f>
        <v>0</v>
      </c>
      <c r="F271">
        <v>0</v>
      </c>
      <c r="G271">
        <v>0</v>
      </c>
      <c r="H271">
        <v>0</v>
      </c>
      <c r="I271">
        <v>0</v>
      </c>
      <c r="J271">
        <v>0</v>
      </c>
      <c r="K271">
        <v>0</v>
      </c>
      <c r="L271">
        <v>0</v>
      </c>
      <c r="M271">
        <v>0</v>
      </c>
      <c r="N271">
        <v>0</v>
      </c>
      <c r="O271">
        <v>0</v>
      </c>
      <c r="P271" s="5">
        <f t="shared" si="46"/>
        <v>0</v>
      </c>
      <c r="Q271">
        <f t="shared" si="47"/>
        <v>0</v>
      </c>
      <c r="R271">
        <f t="shared" si="48"/>
        <v>0</v>
      </c>
      <c r="S271">
        <f t="shared" si="49"/>
        <v>0</v>
      </c>
      <c r="T271">
        <f t="shared" si="50"/>
        <v>0</v>
      </c>
      <c r="U271">
        <f t="shared" si="51"/>
        <v>0</v>
      </c>
      <c r="V271">
        <f t="shared" si="52"/>
        <v>0</v>
      </c>
      <c r="W271">
        <f t="shared" si="53"/>
        <v>0</v>
      </c>
      <c r="X271">
        <f t="shared" si="54"/>
        <v>0</v>
      </c>
      <c r="Y271">
        <f t="shared" si="55"/>
        <v>0</v>
      </c>
      <c r="Z271">
        <f t="shared" si="56"/>
        <v>0</v>
      </c>
      <c r="AA271" t="str">
        <f>INDEX('Priority activities'!$D$5:$D$86,MATCH('Database for analysis'!C271,'Priority activities'!$C$5:$C$86,0))</f>
        <v>Staff and training</v>
      </c>
    </row>
    <row r="272" spans="2:27" ht="16.5" thickTop="1" thickBot="1" x14ac:dyDescent="0.3">
      <c r="B272" t="s">
        <v>195</v>
      </c>
      <c r="C272" s="22" t="str">
        <f>'Costing inputs'!$C$149</f>
        <v>Pre-service training - curriculum review (SDA5.1)</v>
      </c>
      <c r="D272" s="22" t="str">
        <f>'Costing inputs'!$U$149</f>
        <v>Central level</v>
      </c>
      <c r="E272" s="22">
        <f>'Regional splits'!$P$14</f>
        <v>0</v>
      </c>
      <c r="F272">
        <v>0</v>
      </c>
      <c r="G272">
        <v>0</v>
      </c>
      <c r="H272">
        <v>0</v>
      </c>
      <c r="I272">
        <v>0</v>
      </c>
      <c r="J272">
        <v>0</v>
      </c>
      <c r="K272">
        <v>0</v>
      </c>
      <c r="L272">
        <v>0</v>
      </c>
      <c r="M272">
        <v>0</v>
      </c>
      <c r="N272">
        <v>0</v>
      </c>
      <c r="O272">
        <v>0</v>
      </c>
      <c r="P272" s="5">
        <f t="shared" si="46"/>
        <v>0</v>
      </c>
      <c r="Q272">
        <f t="shared" si="47"/>
        <v>0</v>
      </c>
      <c r="R272">
        <f t="shared" si="48"/>
        <v>0</v>
      </c>
      <c r="S272">
        <f t="shared" si="49"/>
        <v>0</v>
      </c>
      <c r="T272">
        <f t="shared" si="50"/>
        <v>0</v>
      </c>
      <c r="U272">
        <f t="shared" si="51"/>
        <v>0</v>
      </c>
      <c r="V272">
        <f t="shared" si="52"/>
        <v>0</v>
      </c>
      <c r="W272">
        <f t="shared" si="53"/>
        <v>0</v>
      </c>
      <c r="X272">
        <f t="shared" si="54"/>
        <v>0</v>
      </c>
      <c r="Y272">
        <f t="shared" si="55"/>
        <v>0</v>
      </c>
      <c r="Z272">
        <f t="shared" si="56"/>
        <v>0</v>
      </c>
      <c r="AA272" t="str">
        <f>INDEX('Priority activities'!$D$5:$D$86,MATCH('Database for analysis'!C272,'Priority activities'!$C$5:$C$86,0))</f>
        <v>Staff and training</v>
      </c>
    </row>
    <row r="273" spans="2:27" ht="16.5" thickTop="1" thickBot="1" x14ac:dyDescent="0.3">
      <c r="B273" t="s">
        <v>195</v>
      </c>
      <c r="C273" s="22" t="str">
        <f>'Costing inputs'!$C$149</f>
        <v>Pre-service training - curriculum review (SDA5.1)</v>
      </c>
      <c r="D273" s="22" t="str">
        <f>'Costing inputs'!$U$149</f>
        <v>Central level</v>
      </c>
      <c r="E273" s="22">
        <f>'Regional splits'!$Q$14</f>
        <v>0</v>
      </c>
      <c r="F273">
        <v>0</v>
      </c>
      <c r="G273">
        <v>0</v>
      </c>
      <c r="H273">
        <v>0</v>
      </c>
      <c r="I273">
        <v>0</v>
      </c>
      <c r="J273">
        <v>0</v>
      </c>
      <c r="K273">
        <v>0</v>
      </c>
      <c r="L273">
        <v>0</v>
      </c>
      <c r="M273">
        <v>0</v>
      </c>
      <c r="N273">
        <v>0</v>
      </c>
      <c r="O273">
        <v>0</v>
      </c>
      <c r="P273" s="5">
        <f t="shared" si="46"/>
        <v>0</v>
      </c>
      <c r="Q273">
        <f t="shared" si="47"/>
        <v>0</v>
      </c>
      <c r="R273">
        <f t="shared" si="48"/>
        <v>0</v>
      </c>
      <c r="S273">
        <f t="shared" si="49"/>
        <v>0</v>
      </c>
      <c r="T273">
        <f t="shared" si="50"/>
        <v>0</v>
      </c>
      <c r="U273">
        <f t="shared" si="51"/>
        <v>0</v>
      </c>
      <c r="V273">
        <f t="shared" si="52"/>
        <v>0</v>
      </c>
      <c r="W273">
        <f t="shared" si="53"/>
        <v>0</v>
      </c>
      <c r="X273">
        <f t="shared" si="54"/>
        <v>0</v>
      </c>
      <c r="Y273">
        <f t="shared" si="55"/>
        <v>0</v>
      </c>
      <c r="Z273">
        <f t="shared" si="56"/>
        <v>0</v>
      </c>
      <c r="AA273" t="str">
        <f>INDEX('Priority activities'!$D$5:$D$86,MATCH('Database for analysis'!C273,'Priority activities'!$C$5:$C$86,0))</f>
        <v>Staff and training</v>
      </c>
    </row>
    <row r="274" spans="2:27" ht="16.5" thickTop="1" thickBot="1" x14ac:dyDescent="0.3">
      <c r="B274" t="s">
        <v>195</v>
      </c>
      <c r="C274" s="22" t="str">
        <f>'Costing inputs'!$C$149</f>
        <v>Pre-service training - curriculum review (SDA5.1)</v>
      </c>
      <c r="D274" s="22" t="str">
        <f>'Costing inputs'!$U$149</f>
        <v>Central level</v>
      </c>
      <c r="E274" s="22" t="str">
        <f>'Regional splits'!$R$14</f>
        <v>National-level</v>
      </c>
      <c r="F274">
        <v>0</v>
      </c>
      <c r="G274">
        <v>73677.576000000001</v>
      </c>
      <c r="H274">
        <v>0</v>
      </c>
      <c r="I274">
        <v>0</v>
      </c>
      <c r="J274">
        <v>0</v>
      </c>
      <c r="K274">
        <v>0</v>
      </c>
      <c r="L274">
        <v>0</v>
      </c>
      <c r="M274">
        <v>0</v>
      </c>
      <c r="N274">
        <v>0</v>
      </c>
      <c r="O274">
        <v>0</v>
      </c>
      <c r="P274" s="5">
        <f t="shared" si="46"/>
        <v>73677.576000000001</v>
      </c>
      <c r="Q274">
        <f t="shared" si="47"/>
        <v>0</v>
      </c>
      <c r="R274">
        <f t="shared" si="48"/>
        <v>73677.576000000001</v>
      </c>
      <c r="S274">
        <f t="shared" si="49"/>
        <v>0</v>
      </c>
      <c r="T274">
        <f t="shared" si="50"/>
        <v>0</v>
      </c>
      <c r="U274">
        <f t="shared" si="51"/>
        <v>0</v>
      </c>
      <c r="V274">
        <f t="shared" si="52"/>
        <v>0</v>
      </c>
      <c r="W274">
        <f t="shared" si="53"/>
        <v>0</v>
      </c>
      <c r="X274">
        <f t="shared" si="54"/>
        <v>0</v>
      </c>
      <c r="Y274">
        <f t="shared" si="55"/>
        <v>0</v>
      </c>
      <c r="Z274">
        <f t="shared" si="56"/>
        <v>0</v>
      </c>
      <c r="AA274" t="str">
        <f>INDEX('Priority activities'!$D$5:$D$86,MATCH('Database for analysis'!C274,'Priority activities'!$C$5:$C$86,0))</f>
        <v>Staff and training</v>
      </c>
    </row>
    <row r="275" spans="2:27" ht="16.5" thickTop="1" thickBot="1" x14ac:dyDescent="0.3">
      <c r="B275" t="s">
        <v>195</v>
      </c>
      <c r="C275" s="22" t="str">
        <f>'Costing inputs'!$C$155</f>
        <v>Pre-service training - training of trainers (SDA5.1)</v>
      </c>
      <c r="D275" s="22" t="str">
        <f>'Costing inputs'!$U$155</f>
        <v>Central level</v>
      </c>
      <c r="E275" s="22" t="str">
        <f>'Regional splits'!$C$14</f>
        <v>Central</v>
      </c>
      <c r="F275">
        <f t="array" ref="F275:O290">'Costing inputs'!S155*'Costing inputs'!AP155:AY155*TRANSPOSE('Costing inputs'!W155:AL155)</f>
        <v>0</v>
      </c>
      <c r="G275">
        <v>0</v>
      </c>
      <c r="H275">
        <v>0</v>
      </c>
      <c r="I275">
        <v>0</v>
      </c>
      <c r="J275">
        <v>0</v>
      </c>
      <c r="K275">
        <v>0</v>
      </c>
      <c r="L275">
        <v>0</v>
      </c>
      <c r="M275">
        <v>0</v>
      </c>
      <c r="N275">
        <v>0</v>
      </c>
      <c r="O275">
        <v>0</v>
      </c>
      <c r="P275" s="5">
        <f t="shared" si="46"/>
        <v>0</v>
      </c>
      <c r="Q275">
        <f t="shared" si="47"/>
        <v>0</v>
      </c>
      <c r="R275">
        <f t="shared" si="48"/>
        <v>0</v>
      </c>
      <c r="S275">
        <f t="shared" si="49"/>
        <v>0</v>
      </c>
      <c r="T275">
        <f t="shared" si="50"/>
        <v>0</v>
      </c>
      <c r="U275">
        <f t="shared" si="51"/>
        <v>0</v>
      </c>
      <c r="V275">
        <f t="shared" si="52"/>
        <v>0</v>
      </c>
      <c r="W275">
        <f t="shared" si="53"/>
        <v>0</v>
      </c>
      <c r="X275">
        <f t="shared" si="54"/>
        <v>0</v>
      </c>
      <c r="Y275">
        <f t="shared" si="55"/>
        <v>0</v>
      </c>
      <c r="Z275">
        <f t="shared" si="56"/>
        <v>0</v>
      </c>
      <c r="AA275" t="str">
        <f>INDEX('Priority activities'!$D$5:$D$86,MATCH('Database for analysis'!C275,'Priority activities'!$C$5:$C$86,0))</f>
        <v>Staff and training</v>
      </c>
    </row>
    <row r="276" spans="2:27" ht="16.5" thickTop="1" thickBot="1" x14ac:dyDescent="0.3">
      <c r="B276" t="s">
        <v>195</v>
      </c>
      <c r="C276" s="22" t="str">
        <f>'Costing inputs'!$C$155</f>
        <v>Pre-service training - training of trainers (SDA5.1)</v>
      </c>
      <c r="D276" s="22" t="str">
        <f>'Costing inputs'!$U$155</f>
        <v>Central level</v>
      </c>
      <c r="E276" s="22" t="str">
        <f>'Regional splits'!$D$14</f>
        <v>Copperbelt</v>
      </c>
      <c r="F276">
        <v>0</v>
      </c>
      <c r="G276">
        <v>0</v>
      </c>
      <c r="H276">
        <v>0</v>
      </c>
      <c r="I276">
        <v>0</v>
      </c>
      <c r="J276">
        <v>0</v>
      </c>
      <c r="K276">
        <v>0</v>
      </c>
      <c r="L276">
        <v>0</v>
      </c>
      <c r="M276">
        <v>0</v>
      </c>
      <c r="N276">
        <v>0</v>
      </c>
      <c r="O276">
        <v>0</v>
      </c>
      <c r="P276" s="5">
        <f t="shared" si="46"/>
        <v>0</v>
      </c>
      <c r="Q276">
        <f t="shared" si="47"/>
        <v>0</v>
      </c>
      <c r="R276">
        <f t="shared" si="48"/>
        <v>0</v>
      </c>
      <c r="S276">
        <f t="shared" si="49"/>
        <v>0</v>
      </c>
      <c r="T276">
        <f t="shared" si="50"/>
        <v>0</v>
      </c>
      <c r="U276">
        <f t="shared" si="51"/>
        <v>0</v>
      </c>
      <c r="V276">
        <f t="shared" si="52"/>
        <v>0</v>
      </c>
      <c r="W276">
        <f t="shared" si="53"/>
        <v>0</v>
      </c>
      <c r="X276">
        <f t="shared" si="54"/>
        <v>0</v>
      </c>
      <c r="Y276">
        <f t="shared" si="55"/>
        <v>0</v>
      </c>
      <c r="Z276">
        <f t="shared" si="56"/>
        <v>0</v>
      </c>
      <c r="AA276" t="str">
        <f>INDEX('Priority activities'!$D$5:$D$86,MATCH('Database for analysis'!C276,'Priority activities'!$C$5:$C$86,0))</f>
        <v>Staff and training</v>
      </c>
    </row>
    <row r="277" spans="2:27" ht="16.5" thickTop="1" thickBot="1" x14ac:dyDescent="0.3">
      <c r="B277" t="s">
        <v>195</v>
      </c>
      <c r="C277" s="22" t="str">
        <f>'Costing inputs'!$C$155</f>
        <v>Pre-service training - training of trainers (SDA5.1)</v>
      </c>
      <c r="D277" s="22" t="str">
        <f>'Costing inputs'!$U$155</f>
        <v>Central level</v>
      </c>
      <c r="E277" s="22" t="str">
        <f>'Regional splits'!$E$14</f>
        <v>Eastern</v>
      </c>
      <c r="F277">
        <v>0</v>
      </c>
      <c r="G277">
        <v>0</v>
      </c>
      <c r="H277">
        <v>0</v>
      </c>
      <c r="I277">
        <v>0</v>
      </c>
      <c r="J277">
        <v>0</v>
      </c>
      <c r="K277">
        <v>0</v>
      </c>
      <c r="L277">
        <v>0</v>
      </c>
      <c r="M277">
        <v>0</v>
      </c>
      <c r="N277">
        <v>0</v>
      </c>
      <c r="O277">
        <v>0</v>
      </c>
      <c r="P277" s="5">
        <f t="shared" si="46"/>
        <v>0</v>
      </c>
      <c r="Q277">
        <f t="shared" si="47"/>
        <v>0</v>
      </c>
      <c r="R277">
        <f t="shared" si="48"/>
        <v>0</v>
      </c>
      <c r="S277">
        <f t="shared" si="49"/>
        <v>0</v>
      </c>
      <c r="T277">
        <f t="shared" si="50"/>
        <v>0</v>
      </c>
      <c r="U277">
        <f t="shared" si="51"/>
        <v>0</v>
      </c>
      <c r="V277">
        <f t="shared" si="52"/>
        <v>0</v>
      </c>
      <c r="W277">
        <f t="shared" si="53"/>
        <v>0</v>
      </c>
      <c r="X277">
        <f t="shared" si="54"/>
        <v>0</v>
      </c>
      <c r="Y277">
        <f t="shared" si="55"/>
        <v>0</v>
      </c>
      <c r="Z277">
        <f t="shared" si="56"/>
        <v>0</v>
      </c>
      <c r="AA277" t="str">
        <f>INDEX('Priority activities'!$D$5:$D$86,MATCH('Database for analysis'!C277,'Priority activities'!$C$5:$C$86,0))</f>
        <v>Staff and training</v>
      </c>
    </row>
    <row r="278" spans="2:27" ht="16.5" thickTop="1" thickBot="1" x14ac:dyDescent="0.3">
      <c r="B278" t="s">
        <v>195</v>
      </c>
      <c r="C278" s="22" t="str">
        <f>'Costing inputs'!$C$155</f>
        <v>Pre-service training - training of trainers (SDA5.1)</v>
      </c>
      <c r="D278" s="22" t="str">
        <f>'Costing inputs'!$U$155</f>
        <v>Central level</v>
      </c>
      <c r="E278" s="22" t="str">
        <f>'Regional splits'!$F$14</f>
        <v>Luapula</v>
      </c>
      <c r="F278">
        <v>0</v>
      </c>
      <c r="G278">
        <v>0</v>
      </c>
      <c r="H278">
        <v>0</v>
      </c>
      <c r="I278">
        <v>0</v>
      </c>
      <c r="J278">
        <v>0</v>
      </c>
      <c r="K278">
        <v>0</v>
      </c>
      <c r="L278">
        <v>0</v>
      </c>
      <c r="M278">
        <v>0</v>
      </c>
      <c r="N278">
        <v>0</v>
      </c>
      <c r="O278">
        <v>0</v>
      </c>
      <c r="P278" s="5">
        <f t="shared" si="46"/>
        <v>0</v>
      </c>
      <c r="Q278">
        <f t="shared" si="47"/>
        <v>0</v>
      </c>
      <c r="R278">
        <f t="shared" si="48"/>
        <v>0</v>
      </c>
      <c r="S278">
        <f t="shared" si="49"/>
        <v>0</v>
      </c>
      <c r="T278">
        <f t="shared" si="50"/>
        <v>0</v>
      </c>
      <c r="U278">
        <f t="shared" si="51"/>
        <v>0</v>
      </c>
      <c r="V278">
        <f t="shared" si="52"/>
        <v>0</v>
      </c>
      <c r="W278">
        <f t="shared" si="53"/>
        <v>0</v>
      </c>
      <c r="X278">
        <f t="shared" si="54"/>
        <v>0</v>
      </c>
      <c r="Y278">
        <f t="shared" si="55"/>
        <v>0</v>
      </c>
      <c r="Z278">
        <f t="shared" si="56"/>
        <v>0</v>
      </c>
      <c r="AA278" t="str">
        <f>INDEX('Priority activities'!$D$5:$D$86,MATCH('Database for analysis'!C278,'Priority activities'!$C$5:$C$86,0))</f>
        <v>Staff and training</v>
      </c>
    </row>
    <row r="279" spans="2:27" ht="16.5" thickTop="1" thickBot="1" x14ac:dyDescent="0.3">
      <c r="B279" t="s">
        <v>195</v>
      </c>
      <c r="C279" s="22" t="str">
        <f>'Costing inputs'!$C$155</f>
        <v>Pre-service training - training of trainers (SDA5.1)</v>
      </c>
      <c r="D279" s="22" t="str">
        <f>'Costing inputs'!$U$155</f>
        <v>Central level</v>
      </c>
      <c r="E279" s="22" t="str">
        <f>'Regional splits'!$G$14</f>
        <v>Lusaka</v>
      </c>
      <c r="F279">
        <v>0</v>
      </c>
      <c r="G279">
        <v>0</v>
      </c>
      <c r="H279">
        <v>0</v>
      </c>
      <c r="I279">
        <v>0</v>
      </c>
      <c r="J279">
        <v>0</v>
      </c>
      <c r="K279">
        <v>0</v>
      </c>
      <c r="L279">
        <v>0</v>
      </c>
      <c r="M279">
        <v>0</v>
      </c>
      <c r="N279">
        <v>0</v>
      </c>
      <c r="O279">
        <v>0</v>
      </c>
      <c r="P279" s="5">
        <f t="shared" si="46"/>
        <v>0</v>
      </c>
      <c r="Q279">
        <f t="shared" si="47"/>
        <v>0</v>
      </c>
      <c r="R279">
        <f t="shared" si="48"/>
        <v>0</v>
      </c>
      <c r="S279">
        <f t="shared" si="49"/>
        <v>0</v>
      </c>
      <c r="T279">
        <f t="shared" si="50"/>
        <v>0</v>
      </c>
      <c r="U279">
        <f t="shared" si="51"/>
        <v>0</v>
      </c>
      <c r="V279">
        <f t="shared" si="52"/>
        <v>0</v>
      </c>
      <c r="W279">
        <f t="shared" si="53"/>
        <v>0</v>
      </c>
      <c r="X279">
        <f t="shared" si="54"/>
        <v>0</v>
      </c>
      <c r="Y279">
        <f t="shared" si="55"/>
        <v>0</v>
      </c>
      <c r="Z279">
        <f t="shared" si="56"/>
        <v>0</v>
      </c>
      <c r="AA279" t="str">
        <f>INDEX('Priority activities'!$D$5:$D$86,MATCH('Database for analysis'!C279,'Priority activities'!$C$5:$C$86,0))</f>
        <v>Staff and training</v>
      </c>
    </row>
    <row r="280" spans="2:27" ht="16.5" thickTop="1" thickBot="1" x14ac:dyDescent="0.3">
      <c r="B280" t="s">
        <v>195</v>
      </c>
      <c r="C280" s="22" t="str">
        <f>'Costing inputs'!$C$155</f>
        <v>Pre-service training - training of trainers (SDA5.1)</v>
      </c>
      <c r="D280" s="22" t="str">
        <f>'Costing inputs'!$U$155</f>
        <v>Central level</v>
      </c>
      <c r="E280" s="22" t="str">
        <f>'Regional splits'!$H$14</f>
        <v>Muchinga</v>
      </c>
      <c r="F280">
        <v>0</v>
      </c>
      <c r="G280">
        <v>0</v>
      </c>
      <c r="H280">
        <v>0</v>
      </c>
      <c r="I280">
        <v>0</v>
      </c>
      <c r="J280">
        <v>0</v>
      </c>
      <c r="K280">
        <v>0</v>
      </c>
      <c r="L280">
        <v>0</v>
      </c>
      <c r="M280">
        <v>0</v>
      </c>
      <c r="N280">
        <v>0</v>
      </c>
      <c r="O280">
        <v>0</v>
      </c>
      <c r="P280" s="5">
        <f t="shared" si="46"/>
        <v>0</v>
      </c>
      <c r="Q280">
        <f t="shared" si="47"/>
        <v>0</v>
      </c>
      <c r="R280">
        <f t="shared" si="48"/>
        <v>0</v>
      </c>
      <c r="S280">
        <f t="shared" si="49"/>
        <v>0</v>
      </c>
      <c r="T280">
        <f t="shared" si="50"/>
        <v>0</v>
      </c>
      <c r="U280">
        <f t="shared" si="51"/>
        <v>0</v>
      </c>
      <c r="V280">
        <f t="shared" si="52"/>
        <v>0</v>
      </c>
      <c r="W280">
        <f t="shared" si="53"/>
        <v>0</v>
      </c>
      <c r="X280">
        <f t="shared" si="54"/>
        <v>0</v>
      </c>
      <c r="Y280">
        <f t="shared" si="55"/>
        <v>0</v>
      </c>
      <c r="Z280">
        <f t="shared" si="56"/>
        <v>0</v>
      </c>
      <c r="AA280" t="str">
        <f>INDEX('Priority activities'!$D$5:$D$86,MATCH('Database for analysis'!C280,'Priority activities'!$C$5:$C$86,0))</f>
        <v>Staff and training</v>
      </c>
    </row>
    <row r="281" spans="2:27" ht="16.5" thickTop="1" thickBot="1" x14ac:dyDescent="0.3">
      <c r="B281" t="s">
        <v>195</v>
      </c>
      <c r="C281" s="22" t="str">
        <f>'Costing inputs'!$C$155</f>
        <v>Pre-service training - training of trainers (SDA5.1)</v>
      </c>
      <c r="D281" s="22" t="str">
        <f>'Costing inputs'!$U$155</f>
        <v>Central level</v>
      </c>
      <c r="E281" s="22" t="str">
        <f>'Regional splits'!$I$14</f>
        <v>Northern</v>
      </c>
      <c r="F281">
        <v>0</v>
      </c>
      <c r="G281">
        <v>0</v>
      </c>
      <c r="H281">
        <v>0</v>
      </c>
      <c r="I281">
        <v>0</v>
      </c>
      <c r="J281">
        <v>0</v>
      </c>
      <c r="K281">
        <v>0</v>
      </c>
      <c r="L281">
        <v>0</v>
      </c>
      <c r="M281">
        <v>0</v>
      </c>
      <c r="N281">
        <v>0</v>
      </c>
      <c r="O281">
        <v>0</v>
      </c>
      <c r="P281" s="5">
        <f t="shared" si="46"/>
        <v>0</v>
      </c>
      <c r="Q281">
        <f t="shared" si="47"/>
        <v>0</v>
      </c>
      <c r="R281">
        <f t="shared" si="48"/>
        <v>0</v>
      </c>
      <c r="S281">
        <f t="shared" si="49"/>
        <v>0</v>
      </c>
      <c r="T281">
        <f t="shared" si="50"/>
        <v>0</v>
      </c>
      <c r="U281">
        <f t="shared" si="51"/>
        <v>0</v>
      </c>
      <c r="V281">
        <f t="shared" si="52"/>
        <v>0</v>
      </c>
      <c r="W281">
        <f t="shared" si="53"/>
        <v>0</v>
      </c>
      <c r="X281">
        <f t="shared" si="54"/>
        <v>0</v>
      </c>
      <c r="Y281">
        <f t="shared" si="55"/>
        <v>0</v>
      </c>
      <c r="Z281">
        <f t="shared" si="56"/>
        <v>0</v>
      </c>
      <c r="AA281" t="str">
        <f>INDEX('Priority activities'!$D$5:$D$86,MATCH('Database for analysis'!C281,'Priority activities'!$C$5:$C$86,0))</f>
        <v>Staff and training</v>
      </c>
    </row>
    <row r="282" spans="2:27" ht="16.5" thickTop="1" thickBot="1" x14ac:dyDescent="0.3">
      <c r="B282" t="s">
        <v>195</v>
      </c>
      <c r="C282" s="22" t="str">
        <f>'Costing inputs'!$C$155</f>
        <v>Pre-service training - training of trainers (SDA5.1)</v>
      </c>
      <c r="D282" s="22" t="str">
        <f>'Costing inputs'!$U$155</f>
        <v>Central level</v>
      </c>
      <c r="E282" s="22" t="str">
        <f>'Regional splits'!$J$14</f>
        <v>North Western</v>
      </c>
      <c r="F282">
        <v>0</v>
      </c>
      <c r="G282">
        <v>0</v>
      </c>
      <c r="H282">
        <v>0</v>
      </c>
      <c r="I282">
        <v>0</v>
      </c>
      <c r="J282">
        <v>0</v>
      </c>
      <c r="K282">
        <v>0</v>
      </c>
      <c r="L282">
        <v>0</v>
      </c>
      <c r="M282">
        <v>0</v>
      </c>
      <c r="N282">
        <v>0</v>
      </c>
      <c r="O282">
        <v>0</v>
      </c>
      <c r="P282" s="5">
        <f t="shared" si="46"/>
        <v>0</v>
      </c>
      <c r="Q282">
        <f t="shared" si="47"/>
        <v>0</v>
      </c>
      <c r="R282">
        <f t="shared" si="48"/>
        <v>0</v>
      </c>
      <c r="S282">
        <f t="shared" si="49"/>
        <v>0</v>
      </c>
      <c r="T282">
        <f t="shared" si="50"/>
        <v>0</v>
      </c>
      <c r="U282">
        <f t="shared" si="51"/>
        <v>0</v>
      </c>
      <c r="V282">
        <f t="shared" si="52"/>
        <v>0</v>
      </c>
      <c r="W282">
        <f t="shared" si="53"/>
        <v>0</v>
      </c>
      <c r="X282">
        <f t="shared" si="54"/>
        <v>0</v>
      </c>
      <c r="Y282">
        <f t="shared" si="55"/>
        <v>0</v>
      </c>
      <c r="Z282">
        <f t="shared" si="56"/>
        <v>0</v>
      </c>
      <c r="AA282" t="str">
        <f>INDEX('Priority activities'!$D$5:$D$86,MATCH('Database for analysis'!C282,'Priority activities'!$C$5:$C$86,0))</f>
        <v>Staff and training</v>
      </c>
    </row>
    <row r="283" spans="2:27" ht="16.5" thickTop="1" thickBot="1" x14ac:dyDescent="0.3">
      <c r="B283" t="s">
        <v>195</v>
      </c>
      <c r="C283" s="22" t="str">
        <f>'Costing inputs'!$C$155</f>
        <v>Pre-service training - training of trainers (SDA5.1)</v>
      </c>
      <c r="D283" s="22" t="str">
        <f>'Costing inputs'!$U$155</f>
        <v>Central level</v>
      </c>
      <c r="E283" s="22" t="str">
        <f>'Regional splits'!$K$14</f>
        <v>Southern</v>
      </c>
      <c r="F283">
        <v>0</v>
      </c>
      <c r="G283">
        <v>0</v>
      </c>
      <c r="H283">
        <v>0</v>
      </c>
      <c r="I283">
        <v>0</v>
      </c>
      <c r="J283">
        <v>0</v>
      </c>
      <c r="K283">
        <v>0</v>
      </c>
      <c r="L283">
        <v>0</v>
      </c>
      <c r="M283">
        <v>0</v>
      </c>
      <c r="N283">
        <v>0</v>
      </c>
      <c r="O283">
        <v>0</v>
      </c>
      <c r="P283" s="5">
        <f t="shared" si="46"/>
        <v>0</v>
      </c>
      <c r="Q283">
        <f t="shared" si="47"/>
        <v>0</v>
      </c>
      <c r="R283">
        <f t="shared" si="48"/>
        <v>0</v>
      </c>
      <c r="S283">
        <f t="shared" si="49"/>
        <v>0</v>
      </c>
      <c r="T283">
        <f t="shared" si="50"/>
        <v>0</v>
      </c>
      <c r="U283">
        <f t="shared" si="51"/>
        <v>0</v>
      </c>
      <c r="V283">
        <f t="shared" si="52"/>
        <v>0</v>
      </c>
      <c r="W283">
        <f t="shared" si="53"/>
        <v>0</v>
      </c>
      <c r="X283">
        <f t="shared" si="54"/>
        <v>0</v>
      </c>
      <c r="Y283">
        <f t="shared" si="55"/>
        <v>0</v>
      </c>
      <c r="Z283">
        <f t="shared" si="56"/>
        <v>0</v>
      </c>
      <c r="AA283" t="str">
        <f>INDEX('Priority activities'!$D$5:$D$86,MATCH('Database for analysis'!C283,'Priority activities'!$C$5:$C$86,0))</f>
        <v>Staff and training</v>
      </c>
    </row>
    <row r="284" spans="2:27" ht="16.5" thickTop="1" thickBot="1" x14ac:dyDescent="0.3">
      <c r="B284" t="s">
        <v>195</v>
      </c>
      <c r="C284" s="22" t="str">
        <f>'Costing inputs'!$C$155</f>
        <v>Pre-service training - training of trainers (SDA5.1)</v>
      </c>
      <c r="D284" s="22" t="str">
        <f>'Costing inputs'!$U$155</f>
        <v>Central level</v>
      </c>
      <c r="E284" s="22" t="str">
        <f>'Regional splits'!$L$14</f>
        <v>Western</v>
      </c>
      <c r="F284">
        <v>0</v>
      </c>
      <c r="G284">
        <v>0</v>
      </c>
      <c r="H284">
        <v>0</v>
      </c>
      <c r="I284">
        <v>0</v>
      </c>
      <c r="J284">
        <v>0</v>
      </c>
      <c r="K284">
        <v>0</v>
      </c>
      <c r="L284">
        <v>0</v>
      </c>
      <c r="M284">
        <v>0</v>
      </c>
      <c r="N284">
        <v>0</v>
      </c>
      <c r="O284">
        <v>0</v>
      </c>
      <c r="P284" s="5">
        <f t="shared" si="46"/>
        <v>0</v>
      </c>
      <c r="Q284">
        <f t="shared" si="47"/>
        <v>0</v>
      </c>
      <c r="R284">
        <f t="shared" si="48"/>
        <v>0</v>
      </c>
      <c r="S284">
        <f t="shared" si="49"/>
        <v>0</v>
      </c>
      <c r="T284">
        <f t="shared" si="50"/>
        <v>0</v>
      </c>
      <c r="U284">
        <f t="shared" si="51"/>
        <v>0</v>
      </c>
      <c r="V284">
        <f t="shared" si="52"/>
        <v>0</v>
      </c>
      <c r="W284">
        <f t="shared" si="53"/>
        <v>0</v>
      </c>
      <c r="X284">
        <f t="shared" si="54"/>
        <v>0</v>
      </c>
      <c r="Y284">
        <f t="shared" si="55"/>
        <v>0</v>
      </c>
      <c r="Z284">
        <f t="shared" si="56"/>
        <v>0</v>
      </c>
      <c r="AA284" t="str">
        <f>INDEX('Priority activities'!$D$5:$D$86,MATCH('Database for analysis'!C284,'Priority activities'!$C$5:$C$86,0))</f>
        <v>Staff and training</v>
      </c>
    </row>
    <row r="285" spans="2:27" ht="16.5" thickTop="1" thickBot="1" x14ac:dyDescent="0.3">
      <c r="B285" t="s">
        <v>195</v>
      </c>
      <c r="C285" s="22" t="str">
        <f>'Costing inputs'!$C$155</f>
        <v>Pre-service training - training of trainers (SDA5.1)</v>
      </c>
      <c r="D285" s="22" t="str">
        <f>'Costing inputs'!$U$155</f>
        <v>Central level</v>
      </c>
      <c r="E285" s="22">
        <f>'Regional splits'!$M$14</f>
        <v>0</v>
      </c>
      <c r="F285">
        <v>0</v>
      </c>
      <c r="G285">
        <v>0</v>
      </c>
      <c r="H285">
        <v>0</v>
      </c>
      <c r="I285">
        <v>0</v>
      </c>
      <c r="J285">
        <v>0</v>
      </c>
      <c r="K285">
        <v>0</v>
      </c>
      <c r="L285">
        <v>0</v>
      </c>
      <c r="M285">
        <v>0</v>
      </c>
      <c r="N285">
        <v>0</v>
      </c>
      <c r="O285">
        <v>0</v>
      </c>
      <c r="P285" s="5">
        <f t="shared" si="46"/>
        <v>0</v>
      </c>
      <c r="Q285">
        <f t="shared" si="47"/>
        <v>0</v>
      </c>
      <c r="R285">
        <f t="shared" si="48"/>
        <v>0</v>
      </c>
      <c r="S285">
        <f t="shared" si="49"/>
        <v>0</v>
      </c>
      <c r="T285">
        <f t="shared" si="50"/>
        <v>0</v>
      </c>
      <c r="U285">
        <f t="shared" si="51"/>
        <v>0</v>
      </c>
      <c r="V285">
        <f t="shared" si="52"/>
        <v>0</v>
      </c>
      <c r="W285">
        <f t="shared" si="53"/>
        <v>0</v>
      </c>
      <c r="X285">
        <f t="shared" si="54"/>
        <v>0</v>
      </c>
      <c r="Y285">
        <f t="shared" si="55"/>
        <v>0</v>
      </c>
      <c r="Z285">
        <f t="shared" si="56"/>
        <v>0</v>
      </c>
      <c r="AA285" t="str">
        <f>INDEX('Priority activities'!$D$5:$D$86,MATCH('Database for analysis'!C285,'Priority activities'!$C$5:$C$86,0))</f>
        <v>Staff and training</v>
      </c>
    </row>
    <row r="286" spans="2:27" ht="16.5" thickTop="1" thickBot="1" x14ac:dyDescent="0.3">
      <c r="B286" t="s">
        <v>195</v>
      </c>
      <c r="C286" s="22" t="str">
        <f>'Costing inputs'!$C$155</f>
        <v>Pre-service training - training of trainers (SDA5.1)</v>
      </c>
      <c r="D286" s="22" t="str">
        <f>'Costing inputs'!$U$155</f>
        <v>Central level</v>
      </c>
      <c r="E286" s="22">
        <f>'Regional splits'!$N$14</f>
        <v>0</v>
      </c>
      <c r="F286">
        <v>0</v>
      </c>
      <c r="G286">
        <v>0</v>
      </c>
      <c r="H286">
        <v>0</v>
      </c>
      <c r="I286">
        <v>0</v>
      </c>
      <c r="J286">
        <v>0</v>
      </c>
      <c r="K286">
        <v>0</v>
      </c>
      <c r="L286">
        <v>0</v>
      </c>
      <c r="M286">
        <v>0</v>
      </c>
      <c r="N286">
        <v>0</v>
      </c>
      <c r="O286">
        <v>0</v>
      </c>
      <c r="P286" s="5">
        <f t="shared" si="46"/>
        <v>0</v>
      </c>
      <c r="Q286">
        <f t="shared" si="47"/>
        <v>0</v>
      </c>
      <c r="R286">
        <f t="shared" si="48"/>
        <v>0</v>
      </c>
      <c r="S286">
        <f t="shared" si="49"/>
        <v>0</v>
      </c>
      <c r="T286">
        <f t="shared" si="50"/>
        <v>0</v>
      </c>
      <c r="U286">
        <f t="shared" si="51"/>
        <v>0</v>
      </c>
      <c r="V286">
        <f t="shared" si="52"/>
        <v>0</v>
      </c>
      <c r="W286">
        <f t="shared" si="53"/>
        <v>0</v>
      </c>
      <c r="X286">
        <f t="shared" si="54"/>
        <v>0</v>
      </c>
      <c r="Y286">
        <f t="shared" si="55"/>
        <v>0</v>
      </c>
      <c r="Z286">
        <f t="shared" si="56"/>
        <v>0</v>
      </c>
      <c r="AA286" t="str">
        <f>INDEX('Priority activities'!$D$5:$D$86,MATCH('Database for analysis'!C286,'Priority activities'!$C$5:$C$86,0))</f>
        <v>Staff and training</v>
      </c>
    </row>
    <row r="287" spans="2:27" ht="16.5" thickTop="1" thickBot="1" x14ac:dyDescent="0.3">
      <c r="B287" t="s">
        <v>195</v>
      </c>
      <c r="C287" s="22" t="str">
        <f>'Costing inputs'!$C$155</f>
        <v>Pre-service training - training of trainers (SDA5.1)</v>
      </c>
      <c r="D287" s="22" t="str">
        <f>'Costing inputs'!$U$155</f>
        <v>Central level</v>
      </c>
      <c r="E287" s="22">
        <f>'Regional splits'!$O$14</f>
        <v>0</v>
      </c>
      <c r="F287">
        <v>0</v>
      </c>
      <c r="G287">
        <v>0</v>
      </c>
      <c r="H287">
        <v>0</v>
      </c>
      <c r="I287">
        <v>0</v>
      </c>
      <c r="J287">
        <v>0</v>
      </c>
      <c r="K287">
        <v>0</v>
      </c>
      <c r="L287">
        <v>0</v>
      </c>
      <c r="M287">
        <v>0</v>
      </c>
      <c r="N287">
        <v>0</v>
      </c>
      <c r="O287">
        <v>0</v>
      </c>
      <c r="P287" s="5">
        <f t="shared" si="46"/>
        <v>0</v>
      </c>
      <c r="Q287">
        <f t="shared" si="47"/>
        <v>0</v>
      </c>
      <c r="R287">
        <f t="shared" si="48"/>
        <v>0</v>
      </c>
      <c r="S287">
        <f t="shared" si="49"/>
        <v>0</v>
      </c>
      <c r="T287">
        <f t="shared" si="50"/>
        <v>0</v>
      </c>
      <c r="U287">
        <f t="shared" si="51"/>
        <v>0</v>
      </c>
      <c r="V287">
        <f t="shared" si="52"/>
        <v>0</v>
      </c>
      <c r="W287">
        <f t="shared" si="53"/>
        <v>0</v>
      </c>
      <c r="X287">
        <f t="shared" si="54"/>
        <v>0</v>
      </c>
      <c r="Y287">
        <f t="shared" si="55"/>
        <v>0</v>
      </c>
      <c r="Z287">
        <f t="shared" si="56"/>
        <v>0</v>
      </c>
      <c r="AA287" t="str">
        <f>INDEX('Priority activities'!$D$5:$D$86,MATCH('Database for analysis'!C287,'Priority activities'!$C$5:$C$86,0))</f>
        <v>Staff and training</v>
      </c>
    </row>
    <row r="288" spans="2:27" ht="16.5" thickTop="1" thickBot="1" x14ac:dyDescent="0.3">
      <c r="B288" t="s">
        <v>195</v>
      </c>
      <c r="C288" s="22" t="str">
        <f>'Costing inputs'!$C$155</f>
        <v>Pre-service training - training of trainers (SDA5.1)</v>
      </c>
      <c r="D288" s="22" t="str">
        <f>'Costing inputs'!$U$155</f>
        <v>Central level</v>
      </c>
      <c r="E288" s="22">
        <f>'Regional splits'!$P$14</f>
        <v>0</v>
      </c>
      <c r="F288">
        <v>0</v>
      </c>
      <c r="G288">
        <v>0</v>
      </c>
      <c r="H288">
        <v>0</v>
      </c>
      <c r="I288">
        <v>0</v>
      </c>
      <c r="J288">
        <v>0</v>
      </c>
      <c r="K288">
        <v>0</v>
      </c>
      <c r="L288">
        <v>0</v>
      </c>
      <c r="M288">
        <v>0</v>
      </c>
      <c r="N288">
        <v>0</v>
      </c>
      <c r="O288">
        <v>0</v>
      </c>
      <c r="P288" s="5">
        <f t="shared" si="46"/>
        <v>0</v>
      </c>
      <c r="Q288">
        <f t="shared" si="47"/>
        <v>0</v>
      </c>
      <c r="R288">
        <f t="shared" si="48"/>
        <v>0</v>
      </c>
      <c r="S288">
        <f t="shared" si="49"/>
        <v>0</v>
      </c>
      <c r="T288">
        <f t="shared" si="50"/>
        <v>0</v>
      </c>
      <c r="U288">
        <f t="shared" si="51"/>
        <v>0</v>
      </c>
      <c r="V288">
        <f t="shared" si="52"/>
        <v>0</v>
      </c>
      <c r="W288">
        <f t="shared" si="53"/>
        <v>0</v>
      </c>
      <c r="X288">
        <f t="shared" si="54"/>
        <v>0</v>
      </c>
      <c r="Y288">
        <f t="shared" si="55"/>
        <v>0</v>
      </c>
      <c r="Z288">
        <f t="shared" si="56"/>
        <v>0</v>
      </c>
      <c r="AA288" t="str">
        <f>INDEX('Priority activities'!$D$5:$D$86,MATCH('Database for analysis'!C288,'Priority activities'!$C$5:$C$86,0))</f>
        <v>Staff and training</v>
      </c>
    </row>
    <row r="289" spans="2:27" ht="16.5" thickTop="1" thickBot="1" x14ac:dyDescent="0.3">
      <c r="B289" t="s">
        <v>195</v>
      </c>
      <c r="C289" s="22" t="str">
        <f>'Costing inputs'!$C$155</f>
        <v>Pre-service training - training of trainers (SDA5.1)</v>
      </c>
      <c r="D289" s="22" t="str">
        <f>'Costing inputs'!$U$155</f>
        <v>Central level</v>
      </c>
      <c r="E289" s="22">
        <f>'Regional splits'!$Q$14</f>
        <v>0</v>
      </c>
      <c r="F289">
        <v>0</v>
      </c>
      <c r="G289">
        <v>0</v>
      </c>
      <c r="H289">
        <v>0</v>
      </c>
      <c r="I289">
        <v>0</v>
      </c>
      <c r="J289">
        <v>0</v>
      </c>
      <c r="K289">
        <v>0</v>
      </c>
      <c r="L289">
        <v>0</v>
      </c>
      <c r="M289">
        <v>0</v>
      </c>
      <c r="N289">
        <v>0</v>
      </c>
      <c r="O289">
        <v>0</v>
      </c>
      <c r="P289" s="5">
        <f t="shared" si="46"/>
        <v>0</v>
      </c>
      <c r="Q289">
        <f t="shared" si="47"/>
        <v>0</v>
      </c>
      <c r="R289">
        <f t="shared" si="48"/>
        <v>0</v>
      </c>
      <c r="S289">
        <f t="shared" si="49"/>
        <v>0</v>
      </c>
      <c r="T289">
        <f t="shared" si="50"/>
        <v>0</v>
      </c>
      <c r="U289">
        <f t="shared" si="51"/>
        <v>0</v>
      </c>
      <c r="V289">
        <f t="shared" si="52"/>
        <v>0</v>
      </c>
      <c r="W289">
        <f t="shared" si="53"/>
        <v>0</v>
      </c>
      <c r="X289">
        <f t="shared" si="54"/>
        <v>0</v>
      </c>
      <c r="Y289">
        <f t="shared" si="55"/>
        <v>0</v>
      </c>
      <c r="Z289">
        <f t="shared" si="56"/>
        <v>0</v>
      </c>
      <c r="AA289" t="str">
        <f>INDEX('Priority activities'!$D$5:$D$86,MATCH('Database for analysis'!C289,'Priority activities'!$C$5:$C$86,0))</f>
        <v>Staff and training</v>
      </c>
    </row>
    <row r="290" spans="2:27" ht="16.5" thickTop="1" thickBot="1" x14ac:dyDescent="0.3">
      <c r="B290" t="s">
        <v>195</v>
      </c>
      <c r="C290" s="22" t="str">
        <f>'Costing inputs'!$C$155</f>
        <v>Pre-service training - training of trainers (SDA5.1)</v>
      </c>
      <c r="D290" s="22" t="str">
        <f>'Costing inputs'!$U$155</f>
        <v>Central level</v>
      </c>
      <c r="E290" s="22" t="str">
        <f>'Regional splits'!$R$14</f>
        <v>National-level</v>
      </c>
      <c r="F290">
        <v>0</v>
      </c>
      <c r="G290">
        <v>266107.364</v>
      </c>
      <c r="H290">
        <v>0</v>
      </c>
      <c r="I290">
        <v>266107.364</v>
      </c>
      <c r="J290">
        <v>0</v>
      </c>
      <c r="K290">
        <v>266107.364</v>
      </c>
      <c r="L290">
        <v>0</v>
      </c>
      <c r="M290">
        <v>266107.364</v>
      </c>
      <c r="N290">
        <v>0</v>
      </c>
      <c r="O290">
        <v>0</v>
      </c>
      <c r="P290" s="5">
        <f t="shared" si="46"/>
        <v>1064429.456</v>
      </c>
      <c r="Q290">
        <f t="shared" si="47"/>
        <v>0</v>
      </c>
      <c r="R290">
        <f t="shared" si="48"/>
        <v>266107.364</v>
      </c>
      <c r="S290">
        <f t="shared" si="49"/>
        <v>0</v>
      </c>
      <c r="T290">
        <f t="shared" si="50"/>
        <v>266107.364</v>
      </c>
      <c r="U290">
        <f t="shared" si="51"/>
        <v>0</v>
      </c>
      <c r="V290">
        <f t="shared" si="52"/>
        <v>266107.364</v>
      </c>
      <c r="W290">
        <f t="shared" si="53"/>
        <v>0</v>
      </c>
      <c r="X290">
        <f t="shared" si="54"/>
        <v>266107.364</v>
      </c>
      <c r="Y290">
        <f t="shared" si="55"/>
        <v>0</v>
      </c>
      <c r="Z290">
        <f t="shared" si="56"/>
        <v>0</v>
      </c>
      <c r="AA290" t="str">
        <f>INDEX('Priority activities'!$D$5:$D$86,MATCH('Database for analysis'!C290,'Priority activities'!$C$5:$C$86,0))</f>
        <v>Staff and training</v>
      </c>
    </row>
    <row r="291" spans="2:27" ht="16.5" thickTop="1" thickBot="1" x14ac:dyDescent="0.3">
      <c r="B291" t="s">
        <v>195</v>
      </c>
      <c r="C291" s="22" t="str">
        <f>'Costing inputs'!$C$160</f>
        <v>In-service training - training plan development and revision including DFPP plan, and curriculum review (SDA2.1 and SDA2.2, SDA4.3)</v>
      </c>
      <c r="D291" s="22" t="str">
        <f>'Costing inputs'!$U$160</f>
        <v>Central level</v>
      </c>
      <c r="E291" s="22" t="str">
        <f>'Regional splits'!$C$14</f>
        <v>Central</v>
      </c>
      <c r="F291">
        <f t="array" ref="F291:O306">'Costing inputs'!S160*'Costing inputs'!AP160:AY160*TRANSPOSE('Costing inputs'!W160:AL160)</f>
        <v>0</v>
      </c>
      <c r="G291">
        <v>0</v>
      </c>
      <c r="H291">
        <v>0</v>
      </c>
      <c r="I291">
        <v>0</v>
      </c>
      <c r="J291">
        <v>0</v>
      </c>
      <c r="K291">
        <v>0</v>
      </c>
      <c r="L291">
        <v>0</v>
      </c>
      <c r="M291">
        <v>0</v>
      </c>
      <c r="N291">
        <v>0</v>
      </c>
      <c r="O291">
        <v>0</v>
      </c>
      <c r="P291" s="5">
        <f t="shared" si="46"/>
        <v>0</v>
      </c>
      <c r="Q291">
        <f t="shared" si="47"/>
        <v>0</v>
      </c>
      <c r="R291">
        <f t="shared" si="48"/>
        <v>0</v>
      </c>
      <c r="S291">
        <f t="shared" si="49"/>
        <v>0</v>
      </c>
      <c r="T291">
        <f t="shared" si="50"/>
        <v>0</v>
      </c>
      <c r="U291">
        <f t="shared" si="51"/>
        <v>0</v>
      </c>
      <c r="V291">
        <f t="shared" si="52"/>
        <v>0</v>
      </c>
      <c r="W291">
        <f t="shared" si="53"/>
        <v>0</v>
      </c>
      <c r="X291">
        <f t="shared" si="54"/>
        <v>0</v>
      </c>
      <c r="Y291">
        <f t="shared" si="55"/>
        <v>0</v>
      </c>
      <c r="Z291">
        <f t="shared" si="56"/>
        <v>0</v>
      </c>
      <c r="AA291" t="str">
        <f>INDEX('Priority activities'!$D$5:$D$86,MATCH('Database for analysis'!C291,'Priority activities'!$C$5:$C$86,0))</f>
        <v>n/a</v>
      </c>
    </row>
    <row r="292" spans="2:27" ht="16.5" thickTop="1" thickBot="1" x14ac:dyDescent="0.3">
      <c r="B292" t="s">
        <v>195</v>
      </c>
      <c r="C292" s="22" t="str">
        <f>'Costing inputs'!$C$160</f>
        <v>In-service training - training plan development and revision including DFPP plan, and curriculum review (SDA2.1 and SDA2.2, SDA4.3)</v>
      </c>
      <c r="D292" s="22" t="str">
        <f>'Costing inputs'!$U$160</f>
        <v>Central level</v>
      </c>
      <c r="E292" s="22" t="str">
        <f>'Regional splits'!$D$14</f>
        <v>Copperbelt</v>
      </c>
      <c r="F292">
        <v>0</v>
      </c>
      <c r="G292">
        <v>0</v>
      </c>
      <c r="H292">
        <v>0</v>
      </c>
      <c r="I292">
        <v>0</v>
      </c>
      <c r="J292">
        <v>0</v>
      </c>
      <c r="K292">
        <v>0</v>
      </c>
      <c r="L292">
        <v>0</v>
      </c>
      <c r="M292">
        <v>0</v>
      </c>
      <c r="N292">
        <v>0</v>
      </c>
      <c r="O292">
        <v>0</v>
      </c>
      <c r="P292" s="5">
        <f t="shared" si="46"/>
        <v>0</v>
      </c>
      <c r="Q292">
        <f t="shared" si="47"/>
        <v>0</v>
      </c>
      <c r="R292">
        <f t="shared" si="48"/>
        <v>0</v>
      </c>
      <c r="S292">
        <f t="shared" si="49"/>
        <v>0</v>
      </c>
      <c r="T292">
        <f t="shared" si="50"/>
        <v>0</v>
      </c>
      <c r="U292">
        <f t="shared" si="51"/>
        <v>0</v>
      </c>
      <c r="V292">
        <f t="shared" si="52"/>
        <v>0</v>
      </c>
      <c r="W292">
        <f t="shared" si="53"/>
        <v>0</v>
      </c>
      <c r="X292">
        <f t="shared" si="54"/>
        <v>0</v>
      </c>
      <c r="Y292">
        <f t="shared" si="55"/>
        <v>0</v>
      </c>
      <c r="Z292">
        <f t="shared" si="56"/>
        <v>0</v>
      </c>
      <c r="AA292" t="str">
        <f>INDEX('Priority activities'!$D$5:$D$86,MATCH('Database for analysis'!C292,'Priority activities'!$C$5:$C$86,0))</f>
        <v>n/a</v>
      </c>
    </row>
    <row r="293" spans="2:27" ht="16.5" thickTop="1" thickBot="1" x14ac:dyDescent="0.3">
      <c r="B293" t="s">
        <v>195</v>
      </c>
      <c r="C293" s="22" t="str">
        <f>'Costing inputs'!$C$160</f>
        <v>In-service training - training plan development and revision including DFPP plan, and curriculum review (SDA2.1 and SDA2.2, SDA4.3)</v>
      </c>
      <c r="D293" s="22" t="str">
        <f>'Costing inputs'!$U$160</f>
        <v>Central level</v>
      </c>
      <c r="E293" s="22" t="str">
        <f>'Regional splits'!$E$14</f>
        <v>Eastern</v>
      </c>
      <c r="F293">
        <v>0</v>
      </c>
      <c r="G293">
        <v>0</v>
      </c>
      <c r="H293">
        <v>0</v>
      </c>
      <c r="I293">
        <v>0</v>
      </c>
      <c r="J293">
        <v>0</v>
      </c>
      <c r="K293">
        <v>0</v>
      </c>
      <c r="L293">
        <v>0</v>
      </c>
      <c r="M293">
        <v>0</v>
      </c>
      <c r="N293">
        <v>0</v>
      </c>
      <c r="O293">
        <v>0</v>
      </c>
      <c r="P293" s="5">
        <f t="shared" si="46"/>
        <v>0</v>
      </c>
      <c r="Q293">
        <f t="shared" si="47"/>
        <v>0</v>
      </c>
      <c r="R293">
        <f t="shared" si="48"/>
        <v>0</v>
      </c>
      <c r="S293">
        <f t="shared" si="49"/>
        <v>0</v>
      </c>
      <c r="T293">
        <f t="shared" si="50"/>
        <v>0</v>
      </c>
      <c r="U293">
        <f t="shared" si="51"/>
        <v>0</v>
      </c>
      <c r="V293">
        <f t="shared" si="52"/>
        <v>0</v>
      </c>
      <c r="W293">
        <f t="shared" si="53"/>
        <v>0</v>
      </c>
      <c r="X293">
        <f t="shared" si="54"/>
        <v>0</v>
      </c>
      <c r="Y293">
        <f t="shared" si="55"/>
        <v>0</v>
      </c>
      <c r="Z293">
        <f t="shared" si="56"/>
        <v>0</v>
      </c>
      <c r="AA293" t="str">
        <f>INDEX('Priority activities'!$D$5:$D$86,MATCH('Database for analysis'!C293,'Priority activities'!$C$5:$C$86,0))</f>
        <v>n/a</v>
      </c>
    </row>
    <row r="294" spans="2:27" ht="16.5" thickTop="1" thickBot="1" x14ac:dyDescent="0.3">
      <c r="B294" t="s">
        <v>195</v>
      </c>
      <c r="C294" s="22" t="str">
        <f>'Costing inputs'!$C$160</f>
        <v>In-service training - training plan development and revision including DFPP plan, and curriculum review (SDA2.1 and SDA2.2, SDA4.3)</v>
      </c>
      <c r="D294" s="22" t="str">
        <f>'Costing inputs'!$U$160</f>
        <v>Central level</v>
      </c>
      <c r="E294" s="22" t="str">
        <f>'Regional splits'!$F$14</f>
        <v>Luapula</v>
      </c>
      <c r="F294">
        <v>0</v>
      </c>
      <c r="G294">
        <v>0</v>
      </c>
      <c r="H294">
        <v>0</v>
      </c>
      <c r="I294">
        <v>0</v>
      </c>
      <c r="J294">
        <v>0</v>
      </c>
      <c r="K294">
        <v>0</v>
      </c>
      <c r="L294">
        <v>0</v>
      </c>
      <c r="M294">
        <v>0</v>
      </c>
      <c r="N294">
        <v>0</v>
      </c>
      <c r="O294">
        <v>0</v>
      </c>
      <c r="P294" s="5">
        <f t="shared" si="46"/>
        <v>0</v>
      </c>
      <c r="Q294">
        <f t="shared" si="47"/>
        <v>0</v>
      </c>
      <c r="R294">
        <f t="shared" si="48"/>
        <v>0</v>
      </c>
      <c r="S294">
        <f t="shared" si="49"/>
        <v>0</v>
      </c>
      <c r="T294">
        <f t="shared" si="50"/>
        <v>0</v>
      </c>
      <c r="U294">
        <f t="shared" si="51"/>
        <v>0</v>
      </c>
      <c r="V294">
        <f t="shared" si="52"/>
        <v>0</v>
      </c>
      <c r="W294">
        <f t="shared" si="53"/>
        <v>0</v>
      </c>
      <c r="X294">
        <f t="shared" si="54"/>
        <v>0</v>
      </c>
      <c r="Y294">
        <f t="shared" si="55"/>
        <v>0</v>
      </c>
      <c r="Z294">
        <f t="shared" si="56"/>
        <v>0</v>
      </c>
      <c r="AA294" t="str">
        <f>INDEX('Priority activities'!$D$5:$D$86,MATCH('Database for analysis'!C294,'Priority activities'!$C$5:$C$86,0))</f>
        <v>n/a</v>
      </c>
    </row>
    <row r="295" spans="2:27" ht="16.5" thickTop="1" thickBot="1" x14ac:dyDescent="0.3">
      <c r="B295" t="s">
        <v>195</v>
      </c>
      <c r="C295" s="22" t="str">
        <f>'Costing inputs'!$C$160</f>
        <v>In-service training - training plan development and revision including DFPP plan, and curriculum review (SDA2.1 and SDA2.2, SDA4.3)</v>
      </c>
      <c r="D295" s="22" t="str">
        <f>'Costing inputs'!$U$160</f>
        <v>Central level</v>
      </c>
      <c r="E295" s="22" t="str">
        <f>'Regional splits'!$G$14</f>
        <v>Lusaka</v>
      </c>
      <c r="F295">
        <v>0</v>
      </c>
      <c r="G295">
        <v>0</v>
      </c>
      <c r="H295">
        <v>0</v>
      </c>
      <c r="I295">
        <v>0</v>
      </c>
      <c r="J295">
        <v>0</v>
      </c>
      <c r="K295">
        <v>0</v>
      </c>
      <c r="L295">
        <v>0</v>
      </c>
      <c r="M295">
        <v>0</v>
      </c>
      <c r="N295">
        <v>0</v>
      </c>
      <c r="O295">
        <v>0</v>
      </c>
      <c r="P295" s="5">
        <f t="shared" si="46"/>
        <v>0</v>
      </c>
      <c r="Q295">
        <f t="shared" si="47"/>
        <v>0</v>
      </c>
      <c r="R295">
        <f t="shared" si="48"/>
        <v>0</v>
      </c>
      <c r="S295">
        <f t="shared" si="49"/>
        <v>0</v>
      </c>
      <c r="T295">
        <f t="shared" si="50"/>
        <v>0</v>
      </c>
      <c r="U295">
        <f t="shared" si="51"/>
        <v>0</v>
      </c>
      <c r="V295">
        <f t="shared" si="52"/>
        <v>0</v>
      </c>
      <c r="W295">
        <f t="shared" si="53"/>
        <v>0</v>
      </c>
      <c r="X295">
        <f t="shared" si="54"/>
        <v>0</v>
      </c>
      <c r="Y295">
        <f t="shared" si="55"/>
        <v>0</v>
      </c>
      <c r="Z295">
        <f t="shared" si="56"/>
        <v>0</v>
      </c>
      <c r="AA295" t="str">
        <f>INDEX('Priority activities'!$D$5:$D$86,MATCH('Database for analysis'!C295,'Priority activities'!$C$5:$C$86,0))</f>
        <v>n/a</v>
      </c>
    </row>
    <row r="296" spans="2:27" ht="16.5" thickTop="1" thickBot="1" x14ac:dyDescent="0.3">
      <c r="B296" t="s">
        <v>195</v>
      </c>
      <c r="C296" s="22" t="str">
        <f>'Costing inputs'!$C$160</f>
        <v>In-service training - training plan development and revision including DFPP plan, and curriculum review (SDA2.1 and SDA2.2, SDA4.3)</v>
      </c>
      <c r="D296" s="22" t="str">
        <f>'Costing inputs'!$U$160</f>
        <v>Central level</v>
      </c>
      <c r="E296" s="22" t="str">
        <f>'Regional splits'!$H$14</f>
        <v>Muchinga</v>
      </c>
      <c r="F296">
        <v>0</v>
      </c>
      <c r="G296">
        <v>0</v>
      </c>
      <c r="H296">
        <v>0</v>
      </c>
      <c r="I296">
        <v>0</v>
      </c>
      <c r="J296">
        <v>0</v>
      </c>
      <c r="K296">
        <v>0</v>
      </c>
      <c r="L296">
        <v>0</v>
      </c>
      <c r="M296">
        <v>0</v>
      </c>
      <c r="N296">
        <v>0</v>
      </c>
      <c r="O296">
        <v>0</v>
      </c>
      <c r="P296" s="5">
        <f t="shared" si="46"/>
        <v>0</v>
      </c>
      <c r="Q296">
        <f t="shared" si="47"/>
        <v>0</v>
      </c>
      <c r="R296">
        <f t="shared" si="48"/>
        <v>0</v>
      </c>
      <c r="S296">
        <f t="shared" si="49"/>
        <v>0</v>
      </c>
      <c r="T296">
        <f t="shared" si="50"/>
        <v>0</v>
      </c>
      <c r="U296">
        <f t="shared" si="51"/>
        <v>0</v>
      </c>
      <c r="V296">
        <f t="shared" si="52"/>
        <v>0</v>
      </c>
      <c r="W296">
        <f t="shared" si="53"/>
        <v>0</v>
      </c>
      <c r="X296">
        <f t="shared" si="54"/>
        <v>0</v>
      </c>
      <c r="Y296">
        <f t="shared" si="55"/>
        <v>0</v>
      </c>
      <c r="Z296">
        <f t="shared" si="56"/>
        <v>0</v>
      </c>
      <c r="AA296" t="str">
        <f>INDEX('Priority activities'!$D$5:$D$86,MATCH('Database for analysis'!C296,'Priority activities'!$C$5:$C$86,0))</f>
        <v>n/a</v>
      </c>
    </row>
    <row r="297" spans="2:27" ht="16.5" thickTop="1" thickBot="1" x14ac:dyDescent="0.3">
      <c r="B297" t="s">
        <v>195</v>
      </c>
      <c r="C297" s="22" t="str">
        <f>'Costing inputs'!$C$160</f>
        <v>In-service training - training plan development and revision including DFPP plan, and curriculum review (SDA2.1 and SDA2.2, SDA4.3)</v>
      </c>
      <c r="D297" s="22" t="str">
        <f>'Costing inputs'!$U$160</f>
        <v>Central level</v>
      </c>
      <c r="E297" s="22" t="str">
        <f>'Regional splits'!$I$14</f>
        <v>Northern</v>
      </c>
      <c r="F297">
        <v>0</v>
      </c>
      <c r="G297">
        <v>0</v>
      </c>
      <c r="H297">
        <v>0</v>
      </c>
      <c r="I297">
        <v>0</v>
      </c>
      <c r="J297">
        <v>0</v>
      </c>
      <c r="K297">
        <v>0</v>
      </c>
      <c r="L297">
        <v>0</v>
      </c>
      <c r="M297">
        <v>0</v>
      </c>
      <c r="N297">
        <v>0</v>
      </c>
      <c r="O297">
        <v>0</v>
      </c>
      <c r="P297" s="5">
        <f t="shared" si="46"/>
        <v>0</v>
      </c>
      <c r="Q297">
        <f t="shared" si="47"/>
        <v>0</v>
      </c>
      <c r="R297">
        <f t="shared" si="48"/>
        <v>0</v>
      </c>
      <c r="S297">
        <f t="shared" si="49"/>
        <v>0</v>
      </c>
      <c r="T297">
        <f t="shared" si="50"/>
        <v>0</v>
      </c>
      <c r="U297">
        <f t="shared" si="51"/>
        <v>0</v>
      </c>
      <c r="V297">
        <f t="shared" si="52"/>
        <v>0</v>
      </c>
      <c r="W297">
        <f t="shared" si="53"/>
        <v>0</v>
      </c>
      <c r="X297">
        <f t="shared" si="54"/>
        <v>0</v>
      </c>
      <c r="Y297">
        <f t="shared" si="55"/>
        <v>0</v>
      </c>
      <c r="Z297">
        <f t="shared" si="56"/>
        <v>0</v>
      </c>
      <c r="AA297" t="str">
        <f>INDEX('Priority activities'!$D$5:$D$86,MATCH('Database for analysis'!C297,'Priority activities'!$C$5:$C$86,0))</f>
        <v>n/a</v>
      </c>
    </row>
    <row r="298" spans="2:27" ht="16.5" thickTop="1" thickBot="1" x14ac:dyDescent="0.3">
      <c r="B298" t="s">
        <v>195</v>
      </c>
      <c r="C298" s="22" t="str">
        <f>'Costing inputs'!$C$160</f>
        <v>In-service training - training plan development and revision including DFPP plan, and curriculum review (SDA2.1 and SDA2.2, SDA4.3)</v>
      </c>
      <c r="D298" s="22" t="str">
        <f>'Costing inputs'!$U$160</f>
        <v>Central level</v>
      </c>
      <c r="E298" s="22" t="str">
        <f>'Regional splits'!$J$14</f>
        <v>North Western</v>
      </c>
      <c r="F298">
        <v>0</v>
      </c>
      <c r="G298">
        <v>0</v>
      </c>
      <c r="H298">
        <v>0</v>
      </c>
      <c r="I298">
        <v>0</v>
      </c>
      <c r="J298">
        <v>0</v>
      </c>
      <c r="K298">
        <v>0</v>
      </c>
      <c r="L298">
        <v>0</v>
      </c>
      <c r="M298">
        <v>0</v>
      </c>
      <c r="N298">
        <v>0</v>
      </c>
      <c r="O298">
        <v>0</v>
      </c>
      <c r="P298" s="5">
        <f t="shared" si="46"/>
        <v>0</v>
      </c>
      <c r="Q298">
        <f t="shared" si="47"/>
        <v>0</v>
      </c>
      <c r="R298">
        <f t="shared" si="48"/>
        <v>0</v>
      </c>
      <c r="S298">
        <f t="shared" si="49"/>
        <v>0</v>
      </c>
      <c r="T298">
        <f t="shared" si="50"/>
        <v>0</v>
      </c>
      <c r="U298">
        <f t="shared" si="51"/>
        <v>0</v>
      </c>
      <c r="V298">
        <f t="shared" si="52"/>
        <v>0</v>
      </c>
      <c r="W298">
        <f t="shared" si="53"/>
        <v>0</v>
      </c>
      <c r="X298">
        <f t="shared" si="54"/>
        <v>0</v>
      </c>
      <c r="Y298">
        <f t="shared" si="55"/>
        <v>0</v>
      </c>
      <c r="Z298">
        <f t="shared" si="56"/>
        <v>0</v>
      </c>
      <c r="AA298" t="str">
        <f>INDEX('Priority activities'!$D$5:$D$86,MATCH('Database for analysis'!C298,'Priority activities'!$C$5:$C$86,0))</f>
        <v>n/a</v>
      </c>
    </row>
    <row r="299" spans="2:27" ht="16.5" thickTop="1" thickBot="1" x14ac:dyDescent="0.3">
      <c r="B299" t="s">
        <v>195</v>
      </c>
      <c r="C299" s="22" t="str">
        <f>'Costing inputs'!$C$160</f>
        <v>In-service training - training plan development and revision including DFPP plan, and curriculum review (SDA2.1 and SDA2.2, SDA4.3)</v>
      </c>
      <c r="D299" s="22" t="str">
        <f>'Costing inputs'!$U$160</f>
        <v>Central level</v>
      </c>
      <c r="E299" s="22" t="str">
        <f>'Regional splits'!$K$14</f>
        <v>Southern</v>
      </c>
      <c r="F299">
        <v>0</v>
      </c>
      <c r="G299">
        <v>0</v>
      </c>
      <c r="H299">
        <v>0</v>
      </c>
      <c r="I299">
        <v>0</v>
      </c>
      <c r="J299">
        <v>0</v>
      </c>
      <c r="K299">
        <v>0</v>
      </c>
      <c r="L299">
        <v>0</v>
      </c>
      <c r="M299">
        <v>0</v>
      </c>
      <c r="N299">
        <v>0</v>
      </c>
      <c r="O299">
        <v>0</v>
      </c>
      <c r="P299" s="5">
        <f t="shared" si="46"/>
        <v>0</v>
      </c>
      <c r="Q299">
        <f t="shared" si="47"/>
        <v>0</v>
      </c>
      <c r="R299">
        <f t="shared" si="48"/>
        <v>0</v>
      </c>
      <c r="S299">
        <f t="shared" si="49"/>
        <v>0</v>
      </c>
      <c r="T299">
        <f t="shared" si="50"/>
        <v>0</v>
      </c>
      <c r="U299">
        <f t="shared" si="51"/>
        <v>0</v>
      </c>
      <c r="V299">
        <f t="shared" si="52"/>
        <v>0</v>
      </c>
      <c r="W299">
        <f t="shared" si="53"/>
        <v>0</v>
      </c>
      <c r="X299">
        <f t="shared" si="54"/>
        <v>0</v>
      </c>
      <c r="Y299">
        <f t="shared" si="55"/>
        <v>0</v>
      </c>
      <c r="Z299">
        <f t="shared" si="56"/>
        <v>0</v>
      </c>
      <c r="AA299" t="str">
        <f>INDEX('Priority activities'!$D$5:$D$86,MATCH('Database for analysis'!C299,'Priority activities'!$C$5:$C$86,0))</f>
        <v>n/a</v>
      </c>
    </row>
    <row r="300" spans="2:27" ht="16.5" thickTop="1" thickBot="1" x14ac:dyDescent="0.3">
      <c r="B300" t="s">
        <v>195</v>
      </c>
      <c r="C300" s="22" t="str">
        <f>'Costing inputs'!$C$160</f>
        <v>In-service training - training plan development and revision including DFPP plan, and curriculum review (SDA2.1 and SDA2.2, SDA4.3)</v>
      </c>
      <c r="D300" s="22" t="str">
        <f>'Costing inputs'!$U$160</f>
        <v>Central level</v>
      </c>
      <c r="E300" s="22" t="str">
        <f>'Regional splits'!$L$14</f>
        <v>Western</v>
      </c>
      <c r="F300">
        <v>0</v>
      </c>
      <c r="G300">
        <v>0</v>
      </c>
      <c r="H300">
        <v>0</v>
      </c>
      <c r="I300">
        <v>0</v>
      </c>
      <c r="J300">
        <v>0</v>
      </c>
      <c r="K300">
        <v>0</v>
      </c>
      <c r="L300">
        <v>0</v>
      </c>
      <c r="M300">
        <v>0</v>
      </c>
      <c r="N300">
        <v>0</v>
      </c>
      <c r="O300">
        <v>0</v>
      </c>
      <c r="P300" s="5">
        <f t="shared" si="46"/>
        <v>0</v>
      </c>
      <c r="Q300">
        <f t="shared" si="47"/>
        <v>0</v>
      </c>
      <c r="R300">
        <f t="shared" si="48"/>
        <v>0</v>
      </c>
      <c r="S300">
        <f t="shared" si="49"/>
        <v>0</v>
      </c>
      <c r="T300">
        <f t="shared" si="50"/>
        <v>0</v>
      </c>
      <c r="U300">
        <f t="shared" si="51"/>
        <v>0</v>
      </c>
      <c r="V300">
        <f t="shared" si="52"/>
        <v>0</v>
      </c>
      <c r="W300">
        <f t="shared" si="53"/>
        <v>0</v>
      </c>
      <c r="X300">
        <f t="shared" si="54"/>
        <v>0</v>
      </c>
      <c r="Y300">
        <f t="shared" si="55"/>
        <v>0</v>
      </c>
      <c r="Z300">
        <f t="shared" si="56"/>
        <v>0</v>
      </c>
      <c r="AA300" t="str">
        <f>INDEX('Priority activities'!$D$5:$D$86,MATCH('Database for analysis'!C300,'Priority activities'!$C$5:$C$86,0))</f>
        <v>n/a</v>
      </c>
    </row>
    <row r="301" spans="2:27" ht="16.5" thickTop="1" thickBot="1" x14ac:dyDescent="0.3">
      <c r="B301" t="s">
        <v>195</v>
      </c>
      <c r="C301" s="22" t="str">
        <f>'Costing inputs'!$C$160</f>
        <v>In-service training - training plan development and revision including DFPP plan, and curriculum review (SDA2.1 and SDA2.2, SDA4.3)</v>
      </c>
      <c r="D301" s="22" t="str">
        <f>'Costing inputs'!$U$160</f>
        <v>Central level</v>
      </c>
      <c r="E301" s="22">
        <f>'Regional splits'!$M$14</f>
        <v>0</v>
      </c>
      <c r="F301">
        <v>0</v>
      </c>
      <c r="G301">
        <v>0</v>
      </c>
      <c r="H301">
        <v>0</v>
      </c>
      <c r="I301">
        <v>0</v>
      </c>
      <c r="J301">
        <v>0</v>
      </c>
      <c r="K301">
        <v>0</v>
      </c>
      <c r="L301">
        <v>0</v>
      </c>
      <c r="M301">
        <v>0</v>
      </c>
      <c r="N301">
        <v>0</v>
      </c>
      <c r="O301">
        <v>0</v>
      </c>
      <c r="P301" s="5">
        <f t="shared" si="46"/>
        <v>0</v>
      </c>
      <c r="Q301">
        <f t="shared" si="47"/>
        <v>0</v>
      </c>
      <c r="R301">
        <f t="shared" si="48"/>
        <v>0</v>
      </c>
      <c r="S301">
        <f t="shared" si="49"/>
        <v>0</v>
      </c>
      <c r="T301">
        <f t="shared" si="50"/>
        <v>0</v>
      </c>
      <c r="U301">
        <f t="shared" si="51"/>
        <v>0</v>
      </c>
      <c r="V301">
        <f t="shared" si="52"/>
        <v>0</v>
      </c>
      <c r="W301">
        <f t="shared" si="53"/>
        <v>0</v>
      </c>
      <c r="X301">
        <f t="shared" si="54"/>
        <v>0</v>
      </c>
      <c r="Y301">
        <f t="shared" si="55"/>
        <v>0</v>
      </c>
      <c r="Z301">
        <f t="shared" si="56"/>
        <v>0</v>
      </c>
      <c r="AA301" t="str">
        <f>INDEX('Priority activities'!$D$5:$D$86,MATCH('Database for analysis'!C301,'Priority activities'!$C$5:$C$86,0))</f>
        <v>n/a</v>
      </c>
    </row>
    <row r="302" spans="2:27" ht="16.5" thickTop="1" thickBot="1" x14ac:dyDescent="0.3">
      <c r="B302" t="s">
        <v>195</v>
      </c>
      <c r="C302" s="22" t="str">
        <f>'Costing inputs'!$C$160</f>
        <v>In-service training - training plan development and revision including DFPP plan, and curriculum review (SDA2.1 and SDA2.2, SDA4.3)</v>
      </c>
      <c r="D302" s="22" t="str">
        <f>'Costing inputs'!$U$160</f>
        <v>Central level</v>
      </c>
      <c r="E302" s="22">
        <f>'Regional splits'!$N$14</f>
        <v>0</v>
      </c>
      <c r="F302">
        <v>0</v>
      </c>
      <c r="G302">
        <v>0</v>
      </c>
      <c r="H302">
        <v>0</v>
      </c>
      <c r="I302">
        <v>0</v>
      </c>
      <c r="J302">
        <v>0</v>
      </c>
      <c r="K302">
        <v>0</v>
      </c>
      <c r="L302">
        <v>0</v>
      </c>
      <c r="M302">
        <v>0</v>
      </c>
      <c r="N302">
        <v>0</v>
      </c>
      <c r="O302">
        <v>0</v>
      </c>
      <c r="P302" s="5">
        <f t="shared" si="46"/>
        <v>0</v>
      </c>
      <c r="Q302">
        <f t="shared" si="47"/>
        <v>0</v>
      </c>
      <c r="R302">
        <f t="shared" si="48"/>
        <v>0</v>
      </c>
      <c r="S302">
        <f t="shared" si="49"/>
        <v>0</v>
      </c>
      <c r="T302">
        <f t="shared" si="50"/>
        <v>0</v>
      </c>
      <c r="U302">
        <f t="shared" si="51"/>
        <v>0</v>
      </c>
      <c r="V302">
        <f t="shared" si="52"/>
        <v>0</v>
      </c>
      <c r="W302">
        <f t="shared" si="53"/>
        <v>0</v>
      </c>
      <c r="X302">
        <f t="shared" si="54"/>
        <v>0</v>
      </c>
      <c r="Y302">
        <f t="shared" si="55"/>
        <v>0</v>
      </c>
      <c r="Z302">
        <f t="shared" si="56"/>
        <v>0</v>
      </c>
      <c r="AA302" t="str">
        <f>INDEX('Priority activities'!$D$5:$D$86,MATCH('Database for analysis'!C302,'Priority activities'!$C$5:$C$86,0))</f>
        <v>n/a</v>
      </c>
    </row>
    <row r="303" spans="2:27" ht="16.5" thickTop="1" thickBot="1" x14ac:dyDescent="0.3">
      <c r="B303" t="s">
        <v>195</v>
      </c>
      <c r="C303" s="22" t="str">
        <f>'Costing inputs'!$C$160</f>
        <v>In-service training - training plan development and revision including DFPP plan, and curriculum review (SDA2.1 and SDA2.2, SDA4.3)</v>
      </c>
      <c r="D303" s="22" t="str">
        <f>'Costing inputs'!$U$160</f>
        <v>Central level</v>
      </c>
      <c r="E303" s="22">
        <f>'Regional splits'!$O$14</f>
        <v>0</v>
      </c>
      <c r="F303">
        <v>0</v>
      </c>
      <c r="G303">
        <v>0</v>
      </c>
      <c r="H303">
        <v>0</v>
      </c>
      <c r="I303">
        <v>0</v>
      </c>
      <c r="J303">
        <v>0</v>
      </c>
      <c r="K303">
        <v>0</v>
      </c>
      <c r="L303">
        <v>0</v>
      </c>
      <c r="M303">
        <v>0</v>
      </c>
      <c r="N303">
        <v>0</v>
      </c>
      <c r="O303">
        <v>0</v>
      </c>
      <c r="P303" s="5">
        <f t="shared" si="46"/>
        <v>0</v>
      </c>
      <c r="Q303">
        <f t="shared" si="47"/>
        <v>0</v>
      </c>
      <c r="R303">
        <f t="shared" si="48"/>
        <v>0</v>
      </c>
      <c r="S303">
        <f t="shared" si="49"/>
        <v>0</v>
      </c>
      <c r="T303">
        <f t="shared" si="50"/>
        <v>0</v>
      </c>
      <c r="U303">
        <f t="shared" si="51"/>
        <v>0</v>
      </c>
      <c r="V303">
        <f t="shared" si="52"/>
        <v>0</v>
      </c>
      <c r="W303">
        <f t="shared" si="53"/>
        <v>0</v>
      </c>
      <c r="X303">
        <f t="shared" si="54"/>
        <v>0</v>
      </c>
      <c r="Y303">
        <f t="shared" si="55"/>
        <v>0</v>
      </c>
      <c r="Z303">
        <f t="shared" si="56"/>
        <v>0</v>
      </c>
      <c r="AA303" t="str">
        <f>INDEX('Priority activities'!$D$5:$D$86,MATCH('Database for analysis'!C303,'Priority activities'!$C$5:$C$86,0))</f>
        <v>n/a</v>
      </c>
    </row>
    <row r="304" spans="2:27" ht="16.5" thickTop="1" thickBot="1" x14ac:dyDescent="0.3">
      <c r="B304" t="s">
        <v>195</v>
      </c>
      <c r="C304" s="22" t="str">
        <f>'Costing inputs'!$C$160</f>
        <v>In-service training - training plan development and revision including DFPP plan, and curriculum review (SDA2.1 and SDA2.2, SDA4.3)</v>
      </c>
      <c r="D304" s="22" t="str">
        <f>'Costing inputs'!$U$160</f>
        <v>Central level</v>
      </c>
      <c r="E304" s="22">
        <f>'Regional splits'!$P$14</f>
        <v>0</v>
      </c>
      <c r="F304">
        <v>0</v>
      </c>
      <c r="G304">
        <v>0</v>
      </c>
      <c r="H304">
        <v>0</v>
      </c>
      <c r="I304">
        <v>0</v>
      </c>
      <c r="J304">
        <v>0</v>
      </c>
      <c r="K304">
        <v>0</v>
      </c>
      <c r="L304">
        <v>0</v>
      </c>
      <c r="M304">
        <v>0</v>
      </c>
      <c r="N304">
        <v>0</v>
      </c>
      <c r="O304">
        <v>0</v>
      </c>
      <c r="P304" s="5">
        <f t="shared" si="46"/>
        <v>0</v>
      </c>
      <c r="Q304">
        <f t="shared" si="47"/>
        <v>0</v>
      </c>
      <c r="R304">
        <f t="shared" si="48"/>
        <v>0</v>
      </c>
      <c r="S304">
        <f t="shared" si="49"/>
        <v>0</v>
      </c>
      <c r="T304">
        <f t="shared" si="50"/>
        <v>0</v>
      </c>
      <c r="U304">
        <f t="shared" si="51"/>
        <v>0</v>
      </c>
      <c r="V304">
        <f t="shared" si="52"/>
        <v>0</v>
      </c>
      <c r="W304">
        <f t="shared" si="53"/>
        <v>0</v>
      </c>
      <c r="X304">
        <f t="shared" si="54"/>
        <v>0</v>
      </c>
      <c r="Y304">
        <f t="shared" si="55"/>
        <v>0</v>
      </c>
      <c r="Z304">
        <f t="shared" si="56"/>
        <v>0</v>
      </c>
      <c r="AA304" t="str">
        <f>INDEX('Priority activities'!$D$5:$D$86,MATCH('Database for analysis'!C304,'Priority activities'!$C$5:$C$86,0))</f>
        <v>n/a</v>
      </c>
    </row>
    <row r="305" spans="2:27" ht="16.5" thickTop="1" thickBot="1" x14ac:dyDescent="0.3">
      <c r="B305" t="s">
        <v>195</v>
      </c>
      <c r="C305" s="22" t="str">
        <f>'Costing inputs'!$C$160</f>
        <v>In-service training - training plan development and revision including DFPP plan, and curriculum review (SDA2.1 and SDA2.2, SDA4.3)</v>
      </c>
      <c r="D305" s="22" t="str">
        <f>'Costing inputs'!$U$160</f>
        <v>Central level</v>
      </c>
      <c r="E305" s="22">
        <f>'Regional splits'!$Q$14</f>
        <v>0</v>
      </c>
      <c r="F305">
        <v>0</v>
      </c>
      <c r="G305">
        <v>0</v>
      </c>
      <c r="H305">
        <v>0</v>
      </c>
      <c r="I305">
        <v>0</v>
      </c>
      <c r="J305">
        <v>0</v>
      </c>
      <c r="K305">
        <v>0</v>
      </c>
      <c r="L305">
        <v>0</v>
      </c>
      <c r="M305">
        <v>0</v>
      </c>
      <c r="N305">
        <v>0</v>
      </c>
      <c r="O305">
        <v>0</v>
      </c>
      <c r="P305" s="5">
        <f t="shared" si="46"/>
        <v>0</v>
      </c>
      <c r="Q305">
        <f t="shared" si="47"/>
        <v>0</v>
      </c>
      <c r="R305">
        <f t="shared" si="48"/>
        <v>0</v>
      </c>
      <c r="S305">
        <f t="shared" si="49"/>
        <v>0</v>
      </c>
      <c r="T305">
        <f t="shared" si="50"/>
        <v>0</v>
      </c>
      <c r="U305">
        <f t="shared" si="51"/>
        <v>0</v>
      </c>
      <c r="V305">
        <f t="shared" si="52"/>
        <v>0</v>
      </c>
      <c r="W305">
        <f t="shared" si="53"/>
        <v>0</v>
      </c>
      <c r="X305">
        <f t="shared" si="54"/>
        <v>0</v>
      </c>
      <c r="Y305">
        <f t="shared" si="55"/>
        <v>0</v>
      </c>
      <c r="Z305">
        <f t="shared" si="56"/>
        <v>0</v>
      </c>
      <c r="AA305" t="str">
        <f>INDEX('Priority activities'!$D$5:$D$86,MATCH('Database for analysis'!C305,'Priority activities'!$C$5:$C$86,0))</f>
        <v>n/a</v>
      </c>
    </row>
    <row r="306" spans="2:27" ht="16.5" thickTop="1" thickBot="1" x14ac:dyDescent="0.3">
      <c r="B306" t="s">
        <v>195</v>
      </c>
      <c r="C306" s="22" t="str">
        <f>'Costing inputs'!$C$160</f>
        <v>In-service training - training plan development and revision including DFPP plan, and curriculum review (SDA2.1 and SDA2.2, SDA4.3)</v>
      </c>
      <c r="D306" s="22" t="str">
        <f>'Costing inputs'!$U$160</f>
        <v>Central level</v>
      </c>
      <c r="E306" s="22" t="str">
        <f>'Regional splits'!$R$14</f>
        <v>National-level</v>
      </c>
      <c r="F306">
        <v>66702.576000000001</v>
      </c>
      <c r="G306">
        <v>66702.576000000001</v>
      </c>
      <c r="H306">
        <v>0</v>
      </c>
      <c r="I306">
        <v>0</v>
      </c>
      <c r="J306">
        <v>66702.576000000001</v>
      </c>
      <c r="K306">
        <v>0</v>
      </c>
      <c r="L306">
        <v>0</v>
      </c>
      <c r="M306">
        <v>0</v>
      </c>
      <c r="N306">
        <v>0</v>
      </c>
      <c r="O306">
        <v>0</v>
      </c>
      <c r="P306" s="5">
        <f t="shared" si="46"/>
        <v>200107.728</v>
      </c>
      <c r="Q306">
        <f t="shared" si="47"/>
        <v>66702.576000000001</v>
      </c>
      <c r="R306">
        <f t="shared" si="48"/>
        <v>66702.576000000001</v>
      </c>
      <c r="S306">
        <f t="shared" si="49"/>
        <v>0</v>
      </c>
      <c r="T306">
        <f t="shared" si="50"/>
        <v>0</v>
      </c>
      <c r="U306">
        <f t="shared" si="51"/>
        <v>66702.576000000001</v>
      </c>
      <c r="V306">
        <f t="shared" si="52"/>
        <v>0</v>
      </c>
      <c r="W306">
        <f t="shared" si="53"/>
        <v>0</v>
      </c>
      <c r="X306">
        <f t="shared" si="54"/>
        <v>0</v>
      </c>
      <c r="Y306">
        <f t="shared" si="55"/>
        <v>0</v>
      </c>
      <c r="Z306">
        <f t="shared" si="56"/>
        <v>0</v>
      </c>
      <c r="AA306" t="str">
        <f>INDEX('Priority activities'!$D$5:$D$86,MATCH('Database for analysis'!C306,'Priority activities'!$C$5:$C$86,0))</f>
        <v>n/a</v>
      </c>
    </row>
    <row r="307" spans="2:27" ht="16.5" thickTop="1" thickBot="1" x14ac:dyDescent="0.3">
      <c r="B307" t="s">
        <v>195</v>
      </c>
      <c r="C307" s="22" t="str">
        <f>'Costing inputs'!$C$166</f>
        <v>In-service training - training of trainers (SDA3.1)</v>
      </c>
      <c r="D307" s="22" t="str">
        <f>'Costing inputs'!$U$166</f>
        <v>Central level</v>
      </c>
      <c r="E307" s="22" t="str">
        <f>'Regional splits'!$C$14</f>
        <v>Central</v>
      </c>
      <c r="F307">
        <f t="array" ref="F307:O322">'Costing inputs'!S166*'Costing inputs'!AP166:AY166*TRANSPOSE('Costing inputs'!W166:AL166)</f>
        <v>0</v>
      </c>
      <c r="G307">
        <v>0</v>
      </c>
      <c r="H307">
        <v>0</v>
      </c>
      <c r="I307">
        <v>0</v>
      </c>
      <c r="J307">
        <v>0</v>
      </c>
      <c r="K307">
        <v>0</v>
      </c>
      <c r="L307">
        <v>0</v>
      </c>
      <c r="M307">
        <v>0</v>
      </c>
      <c r="N307">
        <v>0</v>
      </c>
      <c r="O307">
        <v>0</v>
      </c>
      <c r="P307" s="5">
        <f t="shared" si="46"/>
        <v>0</v>
      </c>
      <c r="Q307">
        <f t="shared" si="47"/>
        <v>0</v>
      </c>
      <c r="R307">
        <f t="shared" si="48"/>
        <v>0</v>
      </c>
      <c r="S307">
        <f t="shared" si="49"/>
        <v>0</v>
      </c>
      <c r="T307">
        <f t="shared" si="50"/>
        <v>0</v>
      </c>
      <c r="U307">
        <f t="shared" si="51"/>
        <v>0</v>
      </c>
      <c r="V307">
        <f t="shared" si="52"/>
        <v>0</v>
      </c>
      <c r="W307">
        <f t="shared" si="53"/>
        <v>0</v>
      </c>
      <c r="X307">
        <f t="shared" si="54"/>
        <v>0</v>
      </c>
      <c r="Y307">
        <f t="shared" si="55"/>
        <v>0</v>
      </c>
      <c r="Z307">
        <f t="shared" si="56"/>
        <v>0</v>
      </c>
      <c r="AA307" t="str">
        <f>INDEX('Priority activities'!$D$5:$D$86,MATCH('Database for analysis'!C307,'Priority activities'!$C$5:$C$86,0))</f>
        <v>Staff and training</v>
      </c>
    </row>
    <row r="308" spans="2:27" ht="16.5" thickTop="1" thickBot="1" x14ac:dyDescent="0.3">
      <c r="B308" t="s">
        <v>195</v>
      </c>
      <c r="C308" s="22" t="str">
        <f>'Costing inputs'!$C$166</f>
        <v>In-service training - training of trainers (SDA3.1)</v>
      </c>
      <c r="D308" s="22" t="str">
        <f>'Costing inputs'!$U$166</f>
        <v>Central level</v>
      </c>
      <c r="E308" s="22" t="str">
        <f>'Regional splits'!$D$14</f>
        <v>Copperbelt</v>
      </c>
      <c r="F308">
        <v>0</v>
      </c>
      <c r="G308">
        <v>0</v>
      </c>
      <c r="H308">
        <v>0</v>
      </c>
      <c r="I308">
        <v>0</v>
      </c>
      <c r="J308">
        <v>0</v>
      </c>
      <c r="K308">
        <v>0</v>
      </c>
      <c r="L308">
        <v>0</v>
      </c>
      <c r="M308">
        <v>0</v>
      </c>
      <c r="N308">
        <v>0</v>
      </c>
      <c r="O308">
        <v>0</v>
      </c>
      <c r="P308" s="5">
        <f t="shared" si="46"/>
        <v>0</v>
      </c>
      <c r="Q308">
        <f t="shared" si="47"/>
        <v>0</v>
      </c>
      <c r="R308">
        <f t="shared" si="48"/>
        <v>0</v>
      </c>
      <c r="S308">
        <f t="shared" si="49"/>
        <v>0</v>
      </c>
      <c r="T308">
        <f t="shared" si="50"/>
        <v>0</v>
      </c>
      <c r="U308">
        <f t="shared" si="51"/>
        <v>0</v>
      </c>
      <c r="V308">
        <f t="shared" si="52"/>
        <v>0</v>
      </c>
      <c r="W308">
        <f t="shared" si="53"/>
        <v>0</v>
      </c>
      <c r="X308">
        <f t="shared" si="54"/>
        <v>0</v>
      </c>
      <c r="Y308">
        <f t="shared" si="55"/>
        <v>0</v>
      </c>
      <c r="Z308">
        <f t="shared" si="56"/>
        <v>0</v>
      </c>
      <c r="AA308" t="str">
        <f>INDEX('Priority activities'!$D$5:$D$86,MATCH('Database for analysis'!C308,'Priority activities'!$C$5:$C$86,0))</f>
        <v>Staff and training</v>
      </c>
    </row>
    <row r="309" spans="2:27" ht="16.5" thickTop="1" thickBot="1" x14ac:dyDescent="0.3">
      <c r="B309" t="s">
        <v>195</v>
      </c>
      <c r="C309" s="22" t="str">
        <f>'Costing inputs'!$C$166</f>
        <v>In-service training - training of trainers (SDA3.1)</v>
      </c>
      <c r="D309" s="22" t="str">
        <f>'Costing inputs'!$U$166</f>
        <v>Central level</v>
      </c>
      <c r="E309" s="22" t="str">
        <f>'Regional splits'!$E$14</f>
        <v>Eastern</v>
      </c>
      <c r="F309">
        <v>0</v>
      </c>
      <c r="G309">
        <v>0</v>
      </c>
      <c r="H309">
        <v>0</v>
      </c>
      <c r="I309">
        <v>0</v>
      </c>
      <c r="J309">
        <v>0</v>
      </c>
      <c r="K309">
        <v>0</v>
      </c>
      <c r="L309">
        <v>0</v>
      </c>
      <c r="M309">
        <v>0</v>
      </c>
      <c r="N309">
        <v>0</v>
      </c>
      <c r="O309">
        <v>0</v>
      </c>
      <c r="P309" s="5">
        <f t="shared" si="46"/>
        <v>0</v>
      </c>
      <c r="Q309">
        <f t="shared" si="47"/>
        <v>0</v>
      </c>
      <c r="R309">
        <f t="shared" si="48"/>
        <v>0</v>
      </c>
      <c r="S309">
        <f t="shared" si="49"/>
        <v>0</v>
      </c>
      <c r="T309">
        <f t="shared" si="50"/>
        <v>0</v>
      </c>
      <c r="U309">
        <f t="shared" si="51"/>
        <v>0</v>
      </c>
      <c r="V309">
        <f t="shared" si="52"/>
        <v>0</v>
      </c>
      <c r="W309">
        <f t="shared" si="53"/>
        <v>0</v>
      </c>
      <c r="X309">
        <f t="shared" si="54"/>
        <v>0</v>
      </c>
      <c r="Y309">
        <f t="shared" si="55"/>
        <v>0</v>
      </c>
      <c r="Z309">
        <f t="shared" si="56"/>
        <v>0</v>
      </c>
      <c r="AA309" t="str">
        <f>INDEX('Priority activities'!$D$5:$D$86,MATCH('Database for analysis'!C309,'Priority activities'!$C$5:$C$86,0))</f>
        <v>Staff and training</v>
      </c>
    </row>
    <row r="310" spans="2:27" ht="16.5" thickTop="1" thickBot="1" x14ac:dyDescent="0.3">
      <c r="B310" t="s">
        <v>195</v>
      </c>
      <c r="C310" s="22" t="str">
        <f>'Costing inputs'!$C$166</f>
        <v>In-service training - training of trainers (SDA3.1)</v>
      </c>
      <c r="D310" s="22" t="str">
        <f>'Costing inputs'!$U$166</f>
        <v>Central level</v>
      </c>
      <c r="E310" s="22" t="str">
        <f>'Regional splits'!$F$14</f>
        <v>Luapula</v>
      </c>
      <c r="F310">
        <v>0</v>
      </c>
      <c r="G310">
        <v>0</v>
      </c>
      <c r="H310">
        <v>0</v>
      </c>
      <c r="I310">
        <v>0</v>
      </c>
      <c r="J310">
        <v>0</v>
      </c>
      <c r="K310">
        <v>0</v>
      </c>
      <c r="L310">
        <v>0</v>
      </c>
      <c r="M310">
        <v>0</v>
      </c>
      <c r="N310">
        <v>0</v>
      </c>
      <c r="O310">
        <v>0</v>
      </c>
      <c r="P310" s="5">
        <f t="shared" si="46"/>
        <v>0</v>
      </c>
      <c r="Q310">
        <f t="shared" si="47"/>
        <v>0</v>
      </c>
      <c r="R310">
        <f t="shared" si="48"/>
        <v>0</v>
      </c>
      <c r="S310">
        <f t="shared" si="49"/>
        <v>0</v>
      </c>
      <c r="T310">
        <f t="shared" si="50"/>
        <v>0</v>
      </c>
      <c r="U310">
        <f t="shared" si="51"/>
        <v>0</v>
      </c>
      <c r="V310">
        <f t="shared" si="52"/>
        <v>0</v>
      </c>
      <c r="W310">
        <f t="shared" si="53"/>
        <v>0</v>
      </c>
      <c r="X310">
        <f t="shared" si="54"/>
        <v>0</v>
      </c>
      <c r="Y310">
        <f t="shared" si="55"/>
        <v>0</v>
      </c>
      <c r="Z310">
        <f t="shared" si="56"/>
        <v>0</v>
      </c>
      <c r="AA310" t="str">
        <f>INDEX('Priority activities'!$D$5:$D$86,MATCH('Database for analysis'!C310,'Priority activities'!$C$5:$C$86,0))</f>
        <v>Staff and training</v>
      </c>
    </row>
    <row r="311" spans="2:27" ht="16.5" thickTop="1" thickBot="1" x14ac:dyDescent="0.3">
      <c r="B311" t="s">
        <v>195</v>
      </c>
      <c r="C311" s="22" t="str">
        <f>'Costing inputs'!$C$166</f>
        <v>In-service training - training of trainers (SDA3.1)</v>
      </c>
      <c r="D311" s="22" t="str">
        <f>'Costing inputs'!$U$166</f>
        <v>Central level</v>
      </c>
      <c r="E311" s="22" t="str">
        <f>'Regional splits'!$G$14</f>
        <v>Lusaka</v>
      </c>
      <c r="F311">
        <v>0</v>
      </c>
      <c r="G311">
        <v>0</v>
      </c>
      <c r="H311">
        <v>0</v>
      </c>
      <c r="I311">
        <v>0</v>
      </c>
      <c r="J311">
        <v>0</v>
      </c>
      <c r="K311">
        <v>0</v>
      </c>
      <c r="L311">
        <v>0</v>
      </c>
      <c r="M311">
        <v>0</v>
      </c>
      <c r="N311">
        <v>0</v>
      </c>
      <c r="O311">
        <v>0</v>
      </c>
      <c r="P311" s="5">
        <f t="shared" si="46"/>
        <v>0</v>
      </c>
      <c r="Q311">
        <f t="shared" si="47"/>
        <v>0</v>
      </c>
      <c r="R311">
        <f t="shared" si="48"/>
        <v>0</v>
      </c>
      <c r="S311">
        <f t="shared" si="49"/>
        <v>0</v>
      </c>
      <c r="T311">
        <f t="shared" si="50"/>
        <v>0</v>
      </c>
      <c r="U311">
        <f t="shared" si="51"/>
        <v>0</v>
      </c>
      <c r="V311">
        <f t="shared" si="52"/>
        <v>0</v>
      </c>
      <c r="W311">
        <f t="shared" si="53"/>
        <v>0</v>
      </c>
      <c r="X311">
        <f t="shared" si="54"/>
        <v>0</v>
      </c>
      <c r="Y311">
        <f t="shared" si="55"/>
        <v>0</v>
      </c>
      <c r="Z311">
        <f t="shared" si="56"/>
        <v>0</v>
      </c>
      <c r="AA311" t="str">
        <f>INDEX('Priority activities'!$D$5:$D$86,MATCH('Database for analysis'!C311,'Priority activities'!$C$5:$C$86,0))</f>
        <v>Staff and training</v>
      </c>
    </row>
    <row r="312" spans="2:27" ht="16.5" thickTop="1" thickBot="1" x14ac:dyDescent="0.3">
      <c r="B312" t="s">
        <v>195</v>
      </c>
      <c r="C312" s="22" t="str">
        <f>'Costing inputs'!$C$166</f>
        <v>In-service training - training of trainers (SDA3.1)</v>
      </c>
      <c r="D312" s="22" t="str">
        <f>'Costing inputs'!$U$166</f>
        <v>Central level</v>
      </c>
      <c r="E312" s="22" t="str">
        <f>'Regional splits'!$H$14</f>
        <v>Muchinga</v>
      </c>
      <c r="F312">
        <v>0</v>
      </c>
      <c r="G312">
        <v>0</v>
      </c>
      <c r="H312">
        <v>0</v>
      </c>
      <c r="I312">
        <v>0</v>
      </c>
      <c r="J312">
        <v>0</v>
      </c>
      <c r="K312">
        <v>0</v>
      </c>
      <c r="L312">
        <v>0</v>
      </c>
      <c r="M312">
        <v>0</v>
      </c>
      <c r="N312">
        <v>0</v>
      </c>
      <c r="O312">
        <v>0</v>
      </c>
      <c r="P312" s="5">
        <f t="shared" si="46"/>
        <v>0</v>
      </c>
      <c r="Q312">
        <f t="shared" si="47"/>
        <v>0</v>
      </c>
      <c r="R312">
        <f t="shared" si="48"/>
        <v>0</v>
      </c>
      <c r="S312">
        <f t="shared" si="49"/>
        <v>0</v>
      </c>
      <c r="T312">
        <f t="shared" si="50"/>
        <v>0</v>
      </c>
      <c r="U312">
        <f t="shared" si="51"/>
        <v>0</v>
      </c>
      <c r="V312">
        <f t="shared" si="52"/>
        <v>0</v>
      </c>
      <c r="W312">
        <f t="shared" si="53"/>
        <v>0</v>
      </c>
      <c r="X312">
        <f t="shared" si="54"/>
        <v>0</v>
      </c>
      <c r="Y312">
        <f t="shared" si="55"/>
        <v>0</v>
      </c>
      <c r="Z312">
        <f t="shared" si="56"/>
        <v>0</v>
      </c>
      <c r="AA312" t="str">
        <f>INDEX('Priority activities'!$D$5:$D$86,MATCH('Database for analysis'!C312,'Priority activities'!$C$5:$C$86,0))</f>
        <v>Staff and training</v>
      </c>
    </row>
    <row r="313" spans="2:27" ht="16.5" thickTop="1" thickBot="1" x14ac:dyDescent="0.3">
      <c r="B313" t="s">
        <v>195</v>
      </c>
      <c r="C313" s="22" t="str">
        <f>'Costing inputs'!$C$166</f>
        <v>In-service training - training of trainers (SDA3.1)</v>
      </c>
      <c r="D313" s="22" t="str">
        <f>'Costing inputs'!$U$166</f>
        <v>Central level</v>
      </c>
      <c r="E313" s="22" t="str">
        <f>'Regional splits'!$I$14</f>
        <v>Northern</v>
      </c>
      <c r="F313">
        <v>0</v>
      </c>
      <c r="G313">
        <v>0</v>
      </c>
      <c r="H313">
        <v>0</v>
      </c>
      <c r="I313">
        <v>0</v>
      </c>
      <c r="J313">
        <v>0</v>
      </c>
      <c r="K313">
        <v>0</v>
      </c>
      <c r="L313">
        <v>0</v>
      </c>
      <c r="M313">
        <v>0</v>
      </c>
      <c r="N313">
        <v>0</v>
      </c>
      <c r="O313">
        <v>0</v>
      </c>
      <c r="P313" s="5">
        <f t="shared" si="46"/>
        <v>0</v>
      </c>
      <c r="Q313">
        <f t="shared" si="47"/>
        <v>0</v>
      </c>
      <c r="R313">
        <f t="shared" si="48"/>
        <v>0</v>
      </c>
      <c r="S313">
        <f t="shared" si="49"/>
        <v>0</v>
      </c>
      <c r="T313">
        <f t="shared" si="50"/>
        <v>0</v>
      </c>
      <c r="U313">
        <f t="shared" si="51"/>
        <v>0</v>
      </c>
      <c r="V313">
        <f t="shared" si="52"/>
        <v>0</v>
      </c>
      <c r="W313">
        <f t="shared" si="53"/>
        <v>0</v>
      </c>
      <c r="X313">
        <f t="shared" si="54"/>
        <v>0</v>
      </c>
      <c r="Y313">
        <f t="shared" si="55"/>
        <v>0</v>
      </c>
      <c r="Z313">
        <f t="shared" si="56"/>
        <v>0</v>
      </c>
      <c r="AA313" t="str">
        <f>INDEX('Priority activities'!$D$5:$D$86,MATCH('Database for analysis'!C313,'Priority activities'!$C$5:$C$86,0))</f>
        <v>Staff and training</v>
      </c>
    </row>
    <row r="314" spans="2:27" ht="16.5" thickTop="1" thickBot="1" x14ac:dyDescent="0.3">
      <c r="B314" t="s">
        <v>195</v>
      </c>
      <c r="C314" s="22" t="str">
        <f>'Costing inputs'!$C$166</f>
        <v>In-service training - training of trainers (SDA3.1)</v>
      </c>
      <c r="D314" s="22" t="str">
        <f>'Costing inputs'!$U$166</f>
        <v>Central level</v>
      </c>
      <c r="E314" s="22" t="str">
        <f>'Regional splits'!$J$14</f>
        <v>North Western</v>
      </c>
      <c r="F314">
        <v>0</v>
      </c>
      <c r="G314">
        <v>0</v>
      </c>
      <c r="H314">
        <v>0</v>
      </c>
      <c r="I314">
        <v>0</v>
      </c>
      <c r="J314">
        <v>0</v>
      </c>
      <c r="K314">
        <v>0</v>
      </c>
      <c r="L314">
        <v>0</v>
      </c>
      <c r="M314">
        <v>0</v>
      </c>
      <c r="N314">
        <v>0</v>
      </c>
      <c r="O314">
        <v>0</v>
      </c>
      <c r="P314" s="5">
        <f t="shared" si="46"/>
        <v>0</v>
      </c>
      <c r="Q314">
        <f t="shared" si="47"/>
        <v>0</v>
      </c>
      <c r="R314">
        <f t="shared" si="48"/>
        <v>0</v>
      </c>
      <c r="S314">
        <f t="shared" si="49"/>
        <v>0</v>
      </c>
      <c r="T314">
        <f t="shared" si="50"/>
        <v>0</v>
      </c>
      <c r="U314">
        <f t="shared" si="51"/>
        <v>0</v>
      </c>
      <c r="V314">
        <f t="shared" si="52"/>
        <v>0</v>
      </c>
      <c r="W314">
        <f t="shared" si="53"/>
        <v>0</v>
      </c>
      <c r="X314">
        <f t="shared" si="54"/>
        <v>0</v>
      </c>
      <c r="Y314">
        <f t="shared" si="55"/>
        <v>0</v>
      </c>
      <c r="Z314">
        <f t="shared" si="56"/>
        <v>0</v>
      </c>
      <c r="AA314" t="str">
        <f>INDEX('Priority activities'!$D$5:$D$86,MATCH('Database for analysis'!C314,'Priority activities'!$C$5:$C$86,0))</f>
        <v>Staff and training</v>
      </c>
    </row>
    <row r="315" spans="2:27" ht="16.5" thickTop="1" thickBot="1" x14ac:dyDescent="0.3">
      <c r="B315" t="s">
        <v>195</v>
      </c>
      <c r="C315" s="22" t="str">
        <f>'Costing inputs'!$C$166</f>
        <v>In-service training - training of trainers (SDA3.1)</v>
      </c>
      <c r="D315" s="22" t="str">
        <f>'Costing inputs'!$U$166</f>
        <v>Central level</v>
      </c>
      <c r="E315" s="22" t="str">
        <f>'Regional splits'!$K$14</f>
        <v>Southern</v>
      </c>
      <c r="F315">
        <v>0</v>
      </c>
      <c r="G315">
        <v>0</v>
      </c>
      <c r="H315">
        <v>0</v>
      </c>
      <c r="I315">
        <v>0</v>
      </c>
      <c r="J315">
        <v>0</v>
      </c>
      <c r="K315">
        <v>0</v>
      </c>
      <c r="L315">
        <v>0</v>
      </c>
      <c r="M315">
        <v>0</v>
      </c>
      <c r="N315">
        <v>0</v>
      </c>
      <c r="O315">
        <v>0</v>
      </c>
      <c r="P315" s="5">
        <f t="shared" si="46"/>
        <v>0</v>
      </c>
      <c r="Q315">
        <f t="shared" si="47"/>
        <v>0</v>
      </c>
      <c r="R315">
        <f t="shared" si="48"/>
        <v>0</v>
      </c>
      <c r="S315">
        <f t="shared" si="49"/>
        <v>0</v>
      </c>
      <c r="T315">
        <f t="shared" si="50"/>
        <v>0</v>
      </c>
      <c r="U315">
        <f t="shared" si="51"/>
        <v>0</v>
      </c>
      <c r="V315">
        <f t="shared" si="52"/>
        <v>0</v>
      </c>
      <c r="W315">
        <f t="shared" si="53"/>
        <v>0</v>
      </c>
      <c r="X315">
        <f t="shared" si="54"/>
        <v>0</v>
      </c>
      <c r="Y315">
        <f t="shared" si="55"/>
        <v>0</v>
      </c>
      <c r="Z315">
        <f t="shared" si="56"/>
        <v>0</v>
      </c>
      <c r="AA315" t="str">
        <f>INDEX('Priority activities'!$D$5:$D$86,MATCH('Database for analysis'!C315,'Priority activities'!$C$5:$C$86,0))</f>
        <v>Staff and training</v>
      </c>
    </row>
    <row r="316" spans="2:27" ht="16.5" thickTop="1" thickBot="1" x14ac:dyDescent="0.3">
      <c r="B316" t="s">
        <v>195</v>
      </c>
      <c r="C316" s="22" t="str">
        <f>'Costing inputs'!$C$166</f>
        <v>In-service training - training of trainers (SDA3.1)</v>
      </c>
      <c r="D316" s="22" t="str">
        <f>'Costing inputs'!$U$166</f>
        <v>Central level</v>
      </c>
      <c r="E316" s="22" t="str">
        <f>'Regional splits'!$L$14</f>
        <v>Western</v>
      </c>
      <c r="F316">
        <v>0</v>
      </c>
      <c r="G316">
        <v>0</v>
      </c>
      <c r="H316">
        <v>0</v>
      </c>
      <c r="I316">
        <v>0</v>
      </c>
      <c r="J316">
        <v>0</v>
      </c>
      <c r="K316">
        <v>0</v>
      </c>
      <c r="L316">
        <v>0</v>
      </c>
      <c r="M316">
        <v>0</v>
      </c>
      <c r="N316">
        <v>0</v>
      </c>
      <c r="O316">
        <v>0</v>
      </c>
      <c r="P316" s="5">
        <f t="shared" si="46"/>
        <v>0</v>
      </c>
      <c r="Q316">
        <f t="shared" si="47"/>
        <v>0</v>
      </c>
      <c r="R316">
        <f t="shared" si="48"/>
        <v>0</v>
      </c>
      <c r="S316">
        <f t="shared" si="49"/>
        <v>0</v>
      </c>
      <c r="T316">
        <f t="shared" si="50"/>
        <v>0</v>
      </c>
      <c r="U316">
        <f t="shared" si="51"/>
        <v>0</v>
      </c>
      <c r="V316">
        <f t="shared" si="52"/>
        <v>0</v>
      </c>
      <c r="W316">
        <f t="shared" si="53"/>
        <v>0</v>
      </c>
      <c r="X316">
        <f t="shared" si="54"/>
        <v>0</v>
      </c>
      <c r="Y316">
        <f t="shared" si="55"/>
        <v>0</v>
      </c>
      <c r="Z316">
        <f t="shared" si="56"/>
        <v>0</v>
      </c>
      <c r="AA316" t="str">
        <f>INDEX('Priority activities'!$D$5:$D$86,MATCH('Database for analysis'!C316,'Priority activities'!$C$5:$C$86,0))</f>
        <v>Staff and training</v>
      </c>
    </row>
    <row r="317" spans="2:27" ht="16.5" thickTop="1" thickBot="1" x14ac:dyDescent="0.3">
      <c r="B317" t="s">
        <v>195</v>
      </c>
      <c r="C317" s="22" t="str">
        <f>'Costing inputs'!$C$166</f>
        <v>In-service training - training of trainers (SDA3.1)</v>
      </c>
      <c r="D317" s="22" t="str">
        <f>'Costing inputs'!$U$166</f>
        <v>Central level</v>
      </c>
      <c r="E317" s="22">
        <f>'Regional splits'!$M$14</f>
        <v>0</v>
      </c>
      <c r="F317">
        <v>0</v>
      </c>
      <c r="G317">
        <v>0</v>
      </c>
      <c r="H317">
        <v>0</v>
      </c>
      <c r="I317">
        <v>0</v>
      </c>
      <c r="J317">
        <v>0</v>
      </c>
      <c r="K317">
        <v>0</v>
      </c>
      <c r="L317">
        <v>0</v>
      </c>
      <c r="M317">
        <v>0</v>
      </c>
      <c r="N317">
        <v>0</v>
      </c>
      <c r="O317">
        <v>0</v>
      </c>
      <c r="P317" s="5">
        <f t="shared" si="46"/>
        <v>0</v>
      </c>
      <c r="Q317">
        <f t="shared" si="47"/>
        <v>0</v>
      </c>
      <c r="R317">
        <f t="shared" si="48"/>
        <v>0</v>
      </c>
      <c r="S317">
        <f t="shared" si="49"/>
        <v>0</v>
      </c>
      <c r="T317">
        <f t="shared" si="50"/>
        <v>0</v>
      </c>
      <c r="U317">
        <f t="shared" si="51"/>
        <v>0</v>
      </c>
      <c r="V317">
        <f t="shared" si="52"/>
        <v>0</v>
      </c>
      <c r="W317">
        <f t="shared" si="53"/>
        <v>0</v>
      </c>
      <c r="X317">
        <f t="shared" si="54"/>
        <v>0</v>
      </c>
      <c r="Y317">
        <f t="shared" si="55"/>
        <v>0</v>
      </c>
      <c r="Z317">
        <f t="shared" si="56"/>
        <v>0</v>
      </c>
      <c r="AA317" t="str">
        <f>INDEX('Priority activities'!$D$5:$D$86,MATCH('Database for analysis'!C317,'Priority activities'!$C$5:$C$86,0))</f>
        <v>Staff and training</v>
      </c>
    </row>
    <row r="318" spans="2:27" ht="16.5" thickTop="1" thickBot="1" x14ac:dyDescent="0.3">
      <c r="B318" t="s">
        <v>195</v>
      </c>
      <c r="C318" s="22" t="str">
        <f>'Costing inputs'!$C$166</f>
        <v>In-service training - training of trainers (SDA3.1)</v>
      </c>
      <c r="D318" s="22" t="str">
        <f>'Costing inputs'!$U$166</f>
        <v>Central level</v>
      </c>
      <c r="E318" s="22">
        <f>'Regional splits'!$N$14</f>
        <v>0</v>
      </c>
      <c r="F318">
        <v>0</v>
      </c>
      <c r="G318">
        <v>0</v>
      </c>
      <c r="H318">
        <v>0</v>
      </c>
      <c r="I318">
        <v>0</v>
      </c>
      <c r="J318">
        <v>0</v>
      </c>
      <c r="K318">
        <v>0</v>
      </c>
      <c r="L318">
        <v>0</v>
      </c>
      <c r="M318">
        <v>0</v>
      </c>
      <c r="N318">
        <v>0</v>
      </c>
      <c r="O318">
        <v>0</v>
      </c>
      <c r="P318" s="5">
        <f t="shared" si="46"/>
        <v>0</v>
      </c>
      <c r="Q318">
        <f t="shared" si="47"/>
        <v>0</v>
      </c>
      <c r="R318">
        <f t="shared" si="48"/>
        <v>0</v>
      </c>
      <c r="S318">
        <f t="shared" si="49"/>
        <v>0</v>
      </c>
      <c r="T318">
        <f t="shared" si="50"/>
        <v>0</v>
      </c>
      <c r="U318">
        <f t="shared" si="51"/>
        <v>0</v>
      </c>
      <c r="V318">
        <f t="shared" si="52"/>
        <v>0</v>
      </c>
      <c r="W318">
        <f t="shared" si="53"/>
        <v>0</v>
      </c>
      <c r="X318">
        <f t="shared" si="54"/>
        <v>0</v>
      </c>
      <c r="Y318">
        <f t="shared" si="55"/>
        <v>0</v>
      </c>
      <c r="Z318">
        <f t="shared" si="56"/>
        <v>0</v>
      </c>
      <c r="AA318" t="str">
        <f>INDEX('Priority activities'!$D$5:$D$86,MATCH('Database for analysis'!C318,'Priority activities'!$C$5:$C$86,0))</f>
        <v>Staff and training</v>
      </c>
    </row>
    <row r="319" spans="2:27" ht="16.5" thickTop="1" thickBot="1" x14ac:dyDescent="0.3">
      <c r="B319" t="s">
        <v>195</v>
      </c>
      <c r="C319" s="22" t="str">
        <f>'Costing inputs'!$C$166</f>
        <v>In-service training - training of trainers (SDA3.1)</v>
      </c>
      <c r="D319" s="22" t="str">
        <f>'Costing inputs'!$U$166</f>
        <v>Central level</v>
      </c>
      <c r="E319" s="22">
        <f>'Regional splits'!$O$14</f>
        <v>0</v>
      </c>
      <c r="F319">
        <v>0</v>
      </c>
      <c r="G319">
        <v>0</v>
      </c>
      <c r="H319">
        <v>0</v>
      </c>
      <c r="I319">
        <v>0</v>
      </c>
      <c r="J319">
        <v>0</v>
      </c>
      <c r="K319">
        <v>0</v>
      </c>
      <c r="L319">
        <v>0</v>
      </c>
      <c r="M319">
        <v>0</v>
      </c>
      <c r="N319">
        <v>0</v>
      </c>
      <c r="O319">
        <v>0</v>
      </c>
      <c r="P319" s="5">
        <f t="shared" si="46"/>
        <v>0</v>
      </c>
      <c r="Q319">
        <f t="shared" si="47"/>
        <v>0</v>
      </c>
      <c r="R319">
        <f t="shared" si="48"/>
        <v>0</v>
      </c>
      <c r="S319">
        <f t="shared" si="49"/>
        <v>0</v>
      </c>
      <c r="T319">
        <f t="shared" si="50"/>
        <v>0</v>
      </c>
      <c r="U319">
        <f t="shared" si="51"/>
        <v>0</v>
      </c>
      <c r="V319">
        <f t="shared" si="52"/>
        <v>0</v>
      </c>
      <c r="W319">
        <f t="shared" si="53"/>
        <v>0</v>
      </c>
      <c r="X319">
        <f t="shared" si="54"/>
        <v>0</v>
      </c>
      <c r="Y319">
        <f t="shared" si="55"/>
        <v>0</v>
      </c>
      <c r="Z319">
        <f t="shared" si="56"/>
        <v>0</v>
      </c>
      <c r="AA319" t="str">
        <f>INDEX('Priority activities'!$D$5:$D$86,MATCH('Database for analysis'!C319,'Priority activities'!$C$5:$C$86,0))</f>
        <v>Staff and training</v>
      </c>
    </row>
    <row r="320" spans="2:27" ht="16.5" thickTop="1" thickBot="1" x14ac:dyDescent="0.3">
      <c r="B320" t="s">
        <v>195</v>
      </c>
      <c r="C320" s="22" t="str">
        <f>'Costing inputs'!$C$166</f>
        <v>In-service training - training of trainers (SDA3.1)</v>
      </c>
      <c r="D320" s="22" t="str">
        <f>'Costing inputs'!$U$166</f>
        <v>Central level</v>
      </c>
      <c r="E320" s="22">
        <f>'Regional splits'!$P$14</f>
        <v>0</v>
      </c>
      <c r="F320">
        <v>0</v>
      </c>
      <c r="G320">
        <v>0</v>
      </c>
      <c r="H320">
        <v>0</v>
      </c>
      <c r="I320">
        <v>0</v>
      </c>
      <c r="J320">
        <v>0</v>
      </c>
      <c r="K320">
        <v>0</v>
      </c>
      <c r="L320">
        <v>0</v>
      </c>
      <c r="M320">
        <v>0</v>
      </c>
      <c r="N320">
        <v>0</v>
      </c>
      <c r="O320">
        <v>0</v>
      </c>
      <c r="P320" s="5">
        <f t="shared" si="46"/>
        <v>0</v>
      </c>
      <c r="Q320">
        <f t="shared" si="47"/>
        <v>0</v>
      </c>
      <c r="R320">
        <f t="shared" si="48"/>
        <v>0</v>
      </c>
      <c r="S320">
        <f t="shared" si="49"/>
        <v>0</v>
      </c>
      <c r="T320">
        <f t="shared" si="50"/>
        <v>0</v>
      </c>
      <c r="U320">
        <f t="shared" si="51"/>
        <v>0</v>
      </c>
      <c r="V320">
        <f t="shared" si="52"/>
        <v>0</v>
      </c>
      <c r="W320">
        <f t="shared" si="53"/>
        <v>0</v>
      </c>
      <c r="X320">
        <f t="shared" si="54"/>
        <v>0</v>
      </c>
      <c r="Y320">
        <f t="shared" si="55"/>
        <v>0</v>
      </c>
      <c r="Z320">
        <f t="shared" si="56"/>
        <v>0</v>
      </c>
      <c r="AA320" t="str">
        <f>INDEX('Priority activities'!$D$5:$D$86,MATCH('Database for analysis'!C320,'Priority activities'!$C$5:$C$86,0))</f>
        <v>Staff and training</v>
      </c>
    </row>
    <row r="321" spans="2:27" ht="16.5" thickTop="1" thickBot="1" x14ac:dyDescent="0.3">
      <c r="B321" t="s">
        <v>195</v>
      </c>
      <c r="C321" s="22" t="str">
        <f>'Costing inputs'!$C$166</f>
        <v>In-service training - training of trainers (SDA3.1)</v>
      </c>
      <c r="D321" s="22" t="str">
        <f>'Costing inputs'!$U$166</f>
        <v>Central level</v>
      </c>
      <c r="E321" s="22">
        <f>'Regional splits'!$Q$14</f>
        <v>0</v>
      </c>
      <c r="F321">
        <v>0</v>
      </c>
      <c r="G321">
        <v>0</v>
      </c>
      <c r="H321">
        <v>0</v>
      </c>
      <c r="I321">
        <v>0</v>
      </c>
      <c r="J321">
        <v>0</v>
      </c>
      <c r="K321">
        <v>0</v>
      </c>
      <c r="L321">
        <v>0</v>
      </c>
      <c r="M321">
        <v>0</v>
      </c>
      <c r="N321">
        <v>0</v>
      </c>
      <c r="O321">
        <v>0</v>
      </c>
      <c r="P321" s="5">
        <f t="shared" si="46"/>
        <v>0</v>
      </c>
      <c r="Q321">
        <f t="shared" si="47"/>
        <v>0</v>
      </c>
      <c r="R321">
        <f t="shared" si="48"/>
        <v>0</v>
      </c>
      <c r="S321">
        <f t="shared" si="49"/>
        <v>0</v>
      </c>
      <c r="T321">
        <f t="shared" si="50"/>
        <v>0</v>
      </c>
      <c r="U321">
        <f t="shared" si="51"/>
        <v>0</v>
      </c>
      <c r="V321">
        <f t="shared" si="52"/>
        <v>0</v>
      </c>
      <c r="W321">
        <f t="shared" si="53"/>
        <v>0</v>
      </c>
      <c r="X321">
        <f t="shared" si="54"/>
        <v>0</v>
      </c>
      <c r="Y321">
        <f t="shared" si="55"/>
        <v>0</v>
      </c>
      <c r="Z321">
        <f t="shared" si="56"/>
        <v>0</v>
      </c>
      <c r="AA321" t="str">
        <f>INDEX('Priority activities'!$D$5:$D$86,MATCH('Database for analysis'!C321,'Priority activities'!$C$5:$C$86,0))</f>
        <v>Staff and training</v>
      </c>
    </row>
    <row r="322" spans="2:27" ht="16.5" thickTop="1" thickBot="1" x14ac:dyDescent="0.3">
      <c r="B322" t="s">
        <v>195</v>
      </c>
      <c r="C322" s="22" t="str">
        <f>'Costing inputs'!$C$166</f>
        <v>In-service training - training of trainers (SDA3.1)</v>
      </c>
      <c r="D322" s="22" t="str">
        <f>'Costing inputs'!$U$166</f>
        <v>Central level</v>
      </c>
      <c r="E322" s="22" t="str">
        <f>'Regional splits'!$R$14</f>
        <v>National-level</v>
      </c>
      <c r="F322">
        <v>358132.65600000002</v>
      </c>
      <c r="G322">
        <v>358132.65600000002</v>
      </c>
      <c r="H322">
        <v>358132.65600000002</v>
      </c>
      <c r="I322">
        <v>358132.65600000002</v>
      </c>
      <c r="J322">
        <v>0</v>
      </c>
      <c r="K322">
        <v>0</v>
      </c>
      <c r="L322">
        <v>0</v>
      </c>
      <c r="M322">
        <v>0</v>
      </c>
      <c r="N322">
        <v>0</v>
      </c>
      <c r="O322">
        <v>0</v>
      </c>
      <c r="P322" s="5">
        <f t="shared" si="46"/>
        <v>1432530.6240000001</v>
      </c>
      <c r="Q322">
        <f t="shared" si="47"/>
        <v>358132.65600000002</v>
      </c>
      <c r="R322">
        <f t="shared" si="48"/>
        <v>358132.65600000002</v>
      </c>
      <c r="S322">
        <f t="shared" si="49"/>
        <v>358132.65600000002</v>
      </c>
      <c r="T322">
        <f t="shared" si="50"/>
        <v>358132.65600000002</v>
      </c>
      <c r="U322">
        <f t="shared" si="51"/>
        <v>0</v>
      </c>
      <c r="V322">
        <f t="shared" si="52"/>
        <v>0</v>
      </c>
      <c r="W322">
        <f t="shared" si="53"/>
        <v>0</v>
      </c>
      <c r="X322">
        <f t="shared" si="54"/>
        <v>0</v>
      </c>
      <c r="Y322">
        <f t="shared" si="55"/>
        <v>0</v>
      </c>
      <c r="Z322">
        <f t="shared" si="56"/>
        <v>0</v>
      </c>
      <c r="AA322" t="str">
        <f>INDEX('Priority activities'!$D$5:$D$86,MATCH('Database for analysis'!C322,'Priority activities'!$C$5:$C$86,0))</f>
        <v>Staff and training</v>
      </c>
    </row>
    <row r="323" spans="2:27" ht="16.5" thickTop="1" thickBot="1" x14ac:dyDescent="0.3">
      <c r="B323" t="s">
        <v>195</v>
      </c>
      <c r="C323" s="22" t="str">
        <f>'Costing inputs'!$C$172</f>
        <v>In-service training - Dedicated FP providers (SDA4.3)</v>
      </c>
      <c r="D323" s="22" t="str">
        <f>'Costing inputs'!$U$172</f>
        <v>Evenly by province/region</v>
      </c>
      <c r="E323" s="22" t="str">
        <f>'Regional splits'!$C$14</f>
        <v>Central</v>
      </c>
      <c r="F323">
        <f t="array" ref="F323:O338">'Costing inputs'!S172*'Costing inputs'!AP172:AY172*TRANSPOSE('Costing inputs'!W172:AL172)</f>
        <v>0</v>
      </c>
      <c r="G323">
        <v>26476.649600000004</v>
      </c>
      <c r="H323">
        <v>26476.649600000004</v>
      </c>
      <c r="I323">
        <v>0</v>
      </c>
      <c r="J323">
        <v>0</v>
      </c>
      <c r="K323">
        <v>0</v>
      </c>
      <c r="L323">
        <v>0</v>
      </c>
      <c r="M323">
        <v>0</v>
      </c>
      <c r="N323">
        <v>0</v>
      </c>
      <c r="O323">
        <v>0</v>
      </c>
      <c r="P323" s="5">
        <f t="shared" si="46"/>
        <v>52953.299200000009</v>
      </c>
      <c r="Q323">
        <f t="shared" si="47"/>
        <v>0</v>
      </c>
      <c r="R323">
        <f t="shared" si="48"/>
        <v>26476.649600000004</v>
      </c>
      <c r="S323">
        <f t="shared" si="49"/>
        <v>26476.649600000004</v>
      </c>
      <c r="T323">
        <f t="shared" si="50"/>
        <v>0</v>
      </c>
      <c r="U323">
        <f t="shared" si="51"/>
        <v>0</v>
      </c>
      <c r="V323">
        <f t="shared" si="52"/>
        <v>0</v>
      </c>
      <c r="W323">
        <f t="shared" si="53"/>
        <v>0</v>
      </c>
      <c r="X323">
        <f t="shared" si="54"/>
        <v>0</v>
      </c>
      <c r="Y323">
        <f t="shared" si="55"/>
        <v>0</v>
      </c>
      <c r="Z323">
        <f t="shared" si="56"/>
        <v>0</v>
      </c>
      <c r="AA323" t="str">
        <f>INDEX('Priority activities'!$D$5:$D$86,MATCH('Database for analysis'!C323,'Priority activities'!$C$5:$C$86,0))</f>
        <v>Staff and training</v>
      </c>
    </row>
    <row r="324" spans="2:27" ht="16.5" thickTop="1" thickBot="1" x14ac:dyDescent="0.3">
      <c r="B324" t="s">
        <v>195</v>
      </c>
      <c r="C324" s="22" t="str">
        <f>'Costing inputs'!$C$172</f>
        <v>In-service training - Dedicated FP providers (SDA4.3)</v>
      </c>
      <c r="D324" s="22" t="str">
        <f>'Costing inputs'!$U$172</f>
        <v>Evenly by province/region</v>
      </c>
      <c r="E324" s="22" t="str">
        <f>'Regional splits'!$D$14</f>
        <v>Copperbelt</v>
      </c>
      <c r="F324">
        <v>0</v>
      </c>
      <c r="G324">
        <v>26476.649600000004</v>
      </c>
      <c r="H324">
        <v>26476.649600000004</v>
      </c>
      <c r="I324">
        <v>0</v>
      </c>
      <c r="J324">
        <v>0</v>
      </c>
      <c r="K324">
        <v>0</v>
      </c>
      <c r="L324">
        <v>0</v>
      </c>
      <c r="M324">
        <v>0</v>
      </c>
      <c r="N324">
        <v>0</v>
      </c>
      <c r="O324">
        <v>0</v>
      </c>
      <c r="P324" s="5">
        <f t="shared" ref="P324:P387" si="57">SUMIF(F324:O324,"&lt;&gt;#N/A")</f>
        <v>52953.299200000009</v>
      </c>
      <c r="Q324">
        <f t="shared" ref="Q324:Q387" si="58">IF(ISNA(F324),0,F324)</f>
        <v>0</v>
      </c>
      <c r="R324">
        <f t="shared" ref="R324:R387" si="59">IF(ISNA(G324),0,G324)</f>
        <v>26476.649600000004</v>
      </c>
      <c r="S324">
        <f t="shared" ref="S324:S387" si="60">IF(ISNA(H324),0,H324)</f>
        <v>26476.649600000004</v>
      </c>
      <c r="T324">
        <f t="shared" ref="T324:T387" si="61">IF(ISNA(I324),0,I324)</f>
        <v>0</v>
      </c>
      <c r="U324">
        <f t="shared" ref="U324:U387" si="62">IF(ISNA(J324),0,J324)</f>
        <v>0</v>
      </c>
      <c r="V324">
        <f t="shared" ref="V324:V387" si="63">IF(ISNA(K324),0,K324)</f>
        <v>0</v>
      </c>
      <c r="W324">
        <f t="shared" ref="W324:W387" si="64">IF(ISNA(L324),0,L324)</f>
        <v>0</v>
      </c>
      <c r="X324">
        <f t="shared" ref="X324:X387" si="65">IF(ISNA(M324),0,M324)</f>
        <v>0</v>
      </c>
      <c r="Y324">
        <f t="shared" ref="Y324:Y387" si="66">IF(ISNA(N324),0,N324)</f>
        <v>0</v>
      </c>
      <c r="Z324">
        <f t="shared" ref="Z324:Z387" si="67">IF(ISNA(O324),0,O324)</f>
        <v>0</v>
      </c>
      <c r="AA324" t="str">
        <f>INDEX('Priority activities'!$D$5:$D$86,MATCH('Database for analysis'!C324,'Priority activities'!$C$5:$C$86,0))</f>
        <v>Staff and training</v>
      </c>
    </row>
    <row r="325" spans="2:27" ht="16.5" thickTop="1" thickBot="1" x14ac:dyDescent="0.3">
      <c r="B325" t="s">
        <v>195</v>
      </c>
      <c r="C325" s="22" t="str">
        <f>'Costing inputs'!$C$172</f>
        <v>In-service training - Dedicated FP providers (SDA4.3)</v>
      </c>
      <c r="D325" s="22" t="str">
        <f>'Costing inputs'!$U$172</f>
        <v>Evenly by province/region</v>
      </c>
      <c r="E325" s="22" t="str">
        <f>'Regional splits'!$E$14</f>
        <v>Eastern</v>
      </c>
      <c r="F325">
        <v>0</v>
      </c>
      <c r="G325">
        <v>26476.649600000004</v>
      </c>
      <c r="H325">
        <v>26476.649600000004</v>
      </c>
      <c r="I325">
        <v>0</v>
      </c>
      <c r="J325">
        <v>0</v>
      </c>
      <c r="K325">
        <v>0</v>
      </c>
      <c r="L325">
        <v>0</v>
      </c>
      <c r="M325">
        <v>0</v>
      </c>
      <c r="N325">
        <v>0</v>
      </c>
      <c r="O325">
        <v>0</v>
      </c>
      <c r="P325" s="5">
        <f t="shared" si="57"/>
        <v>52953.299200000009</v>
      </c>
      <c r="Q325">
        <f t="shared" si="58"/>
        <v>0</v>
      </c>
      <c r="R325">
        <f t="shared" si="59"/>
        <v>26476.649600000004</v>
      </c>
      <c r="S325">
        <f t="shared" si="60"/>
        <v>26476.649600000004</v>
      </c>
      <c r="T325">
        <f t="shared" si="61"/>
        <v>0</v>
      </c>
      <c r="U325">
        <f t="shared" si="62"/>
        <v>0</v>
      </c>
      <c r="V325">
        <f t="shared" si="63"/>
        <v>0</v>
      </c>
      <c r="W325">
        <f t="shared" si="64"/>
        <v>0</v>
      </c>
      <c r="X325">
        <f t="shared" si="65"/>
        <v>0</v>
      </c>
      <c r="Y325">
        <f t="shared" si="66"/>
        <v>0</v>
      </c>
      <c r="Z325">
        <f t="shared" si="67"/>
        <v>0</v>
      </c>
      <c r="AA325" t="str">
        <f>INDEX('Priority activities'!$D$5:$D$86,MATCH('Database for analysis'!C325,'Priority activities'!$C$5:$C$86,0))</f>
        <v>Staff and training</v>
      </c>
    </row>
    <row r="326" spans="2:27" ht="16.5" thickTop="1" thickBot="1" x14ac:dyDescent="0.3">
      <c r="B326" t="s">
        <v>195</v>
      </c>
      <c r="C326" s="22" t="str">
        <f>'Costing inputs'!$C$172</f>
        <v>In-service training - Dedicated FP providers (SDA4.3)</v>
      </c>
      <c r="D326" s="22" t="str">
        <f>'Costing inputs'!$U$172</f>
        <v>Evenly by province/region</v>
      </c>
      <c r="E326" s="22" t="str">
        <f>'Regional splits'!$F$14</f>
        <v>Luapula</v>
      </c>
      <c r="F326">
        <v>0</v>
      </c>
      <c r="G326">
        <v>26476.649600000004</v>
      </c>
      <c r="H326">
        <v>26476.649600000004</v>
      </c>
      <c r="I326">
        <v>0</v>
      </c>
      <c r="J326">
        <v>0</v>
      </c>
      <c r="K326">
        <v>0</v>
      </c>
      <c r="L326">
        <v>0</v>
      </c>
      <c r="M326">
        <v>0</v>
      </c>
      <c r="N326">
        <v>0</v>
      </c>
      <c r="O326">
        <v>0</v>
      </c>
      <c r="P326" s="5">
        <f t="shared" si="57"/>
        <v>52953.299200000009</v>
      </c>
      <c r="Q326">
        <f t="shared" si="58"/>
        <v>0</v>
      </c>
      <c r="R326">
        <f t="shared" si="59"/>
        <v>26476.649600000004</v>
      </c>
      <c r="S326">
        <f t="shared" si="60"/>
        <v>26476.649600000004</v>
      </c>
      <c r="T326">
        <f t="shared" si="61"/>
        <v>0</v>
      </c>
      <c r="U326">
        <f t="shared" si="62"/>
        <v>0</v>
      </c>
      <c r="V326">
        <f t="shared" si="63"/>
        <v>0</v>
      </c>
      <c r="W326">
        <f t="shared" si="64"/>
        <v>0</v>
      </c>
      <c r="X326">
        <f t="shared" si="65"/>
        <v>0</v>
      </c>
      <c r="Y326">
        <f t="shared" si="66"/>
        <v>0</v>
      </c>
      <c r="Z326">
        <f t="shared" si="67"/>
        <v>0</v>
      </c>
      <c r="AA326" t="str">
        <f>INDEX('Priority activities'!$D$5:$D$86,MATCH('Database for analysis'!C326,'Priority activities'!$C$5:$C$86,0))</f>
        <v>Staff and training</v>
      </c>
    </row>
    <row r="327" spans="2:27" ht="16.5" thickTop="1" thickBot="1" x14ac:dyDescent="0.3">
      <c r="B327" t="s">
        <v>195</v>
      </c>
      <c r="C327" s="22" t="str">
        <f>'Costing inputs'!$C$172</f>
        <v>In-service training - Dedicated FP providers (SDA4.3)</v>
      </c>
      <c r="D327" s="22" t="str">
        <f>'Costing inputs'!$U$172</f>
        <v>Evenly by province/region</v>
      </c>
      <c r="E327" s="22" t="str">
        <f>'Regional splits'!$G$14</f>
        <v>Lusaka</v>
      </c>
      <c r="F327">
        <v>0</v>
      </c>
      <c r="G327">
        <v>26476.649600000004</v>
      </c>
      <c r="H327">
        <v>26476.649600000004</v>
      </c>
      <c r="I327">
        <v>0</v>
      </c>
      <c r="J327">
        <v>0</v>
      </c>
      <c r="K327">
        <v>0</v>
      </c>
      <c r="L327">
        <v>0</v>
      </c>
      <c r="M327">
        <v>0</v>
      </c>
      <c r="N327">
        <v>0</v>
      </c>
      <c r="O327">
        <v>0</v>
      </c>
      <c r="P327" s="5">
        <f t="shared" si="57"/>
        <v>52953.299200000009</v>
      </c>
      <c r="Q327">
        <f t="shared" si="58"/>
        <v>0</v>
      </c>
      <c r="R327">
        <f t="shared" si="59"/>
        <v>26476.649600000004</v>
      </c>
      <c r="S327">
        <f t="shared" si="60"/>
        <v>26476.649600000004</v>
      </c>
      <c r="T327">
        <f t="shared" si="61"/>
        <v>0</v>
      </c>
      <c r="U327">
        <f t="shared" si="62"/>
        <v>0</v>
      </c>
      <c r="V327">
        <f t="shared" si="63"/>
        <v>0</v>
      </c>
      <c r="W327">
        <f t="shared" si="64"/>
        <v>0</v>
      </c>
      <c r="X327">
        <f t="shared" si="65"/>
        <v>0</v>
      </c>
      <c r="Y327">
        <f t="shared" si="66"/>
        <v>0</v>
      </c>
      <c r="Z327">
        <f t="shared" si="67"/>
        <v>0</v>
      </c>
      <c r="AA327" t="str">
        <f>INDEX('Priority activities'!$D$5:$D$86,MATCH('Database for analysis'!C327,'Priority activities'!$C$5:$C$86,0))</f>
        <v>Staff and training</v>
      </c>
    </row>
    <row r="328" spans="2:27" ht="16.5" thickTop="1" thickBot="1" x14ac:dyDescent="0.3">
      <c r="B328" t="s">
        <v>195</v>
      </c>
      <c r="C328" s="22" t="str">
        <f>'Costing inputs'!$C$172</f>
        <v>In-service training - Dedicated FP providers (SDA4.3)</v>
      </c>
      <c r="D328" s="22" t="str">
        <f>'Costing inputs'!$U$172</f>
        <v>Evenly by province/region</v>
      </c>
      <c r="E328" s="22" t="str">
        <f>'Regional splits'!$H$14</f>
        <v>Muchinga</v>
      </c>
      <c r="F328">
        <v>0</v>
      </c>
      <c r="G328">
        <v>26476.649600000004</v>
      </c>
      <c r="H328">
        <v>26476.649600000004</v>
      </c>
      <c r="I328">
        <v>0</v>
      </c>
      <c r="J328">
        <v>0</v>
      </c>
      <c r="K328">
        <v>0</v>
      </c>
      <c r="L328">
        <v>0</v>
      </c>
      <c r="M328">
        <v>0</v>
      </c>
      <c r="N328">
        <v>0</v>
      </c>
      <c r="O328">
        <v>0</v>
      </c>
      <c r="P328" s="5">
        <f t="shared" si="57"/>
        <v>52953.299200000009</v>
      </c>
      <c r="Q328">
        <f t="shared" si="58"/>
        <v>0</v>
      </c>
      <c r="R328">
        <f t="shared" si="59"/>
        <v>26476.649600000004</v>
      </c>
      <c r="S328">
        <f t="shared" si="60"/>
        <v>26476.649600000004</v>
      </c>
      <c r="T328">
        <f t="shared" si="61"/>
        <v>0</v>
      </c>
      <c r="U328">
        <f t="shared" si="62"/>
        <v>0</v>
      </c>
      <c r="V328">
        <f t="shared" si="63"/>
        <v>0</v>
      </c>
      <c r="W328">
        <f t="shared" si="64"/>
        <v>0</v>
      </c>
      <c r="X328">
        <f t="shared" si="65"/>
        <v>0</v>
      </c>
      <c r="Y328">
        <f t="shared" si="66"/>
        <v>0</v>
      </c>
      <c r="Z328">
        <f t="shared" si="67"/>
        <v>0</v>
      </c>
      <c r="AA328" t="str">
        <f>INDEX('Priority activities'!$D$5:$D$86,MATCH('Database for analysis'!C328,'Priority activities'!$C$5:$C$86,0))</f>
        <v>Staff and training</v>
      </c>
    </row>
    <row r="329" spans="2:27" ht="16.5" thickTop="1" thickBot="1" x14ac:dyDescent="0.3">
      <c r="B329" t="s">
        <v>195</v>
      </c>
      <c r="C329" s="22" t="str">
        <f>'Costing inputs'!$C$172</f>
        <v>In-service training - Dedicated FP providers (SDA4.3)</v>
      </c>
      <c r="D329" s="22" t="str">
        <f>'Costing inputs'!$U$172</f>
        <v>Evenly by province/region</v>
      </c>
      <c r="E329" s="22" t="str">
        <f>'Regional splits'!$I$14</f>
        <v>Northern</v>
      </c>
      <c r="F329">
        <v>0</v>
      </c>
      <c r="G329">
        <v>26476.649600000004</v>
      </c>
      <c r="H329">
        <v>26476.649600000004</v>
      </c>
      <c r="I329">
        <v>0</v>
      </c>
      <c r="J329">
        <v>0</v>
      </c>
      <c r="K329">
        <v>0</v>
      </c>
      <c r="L329">
        <v>0</v>
      </c>
      <c r="M329">
        <v>0</v>
      </c>
      <c r="N329">
        <v>0</v>
      </c>
      <c r="O329">
        <v>0</v>
      </c>
      <c r="P329" s="5">
        <f t="shared" si="57"/>
        <v>52953.299200000009</v>
      </c>
      <c r="Q329">
        <f t="shared" si="58"/>
        <v>0</v>
      </c>
      <c r="R329">
        <f t="shared" si="59"/>
        <v>26476.649600000004</v>
      </c>
      <c r="S329">
        <f t="shared" si="60"/>
        <v>26476.649600000004</v>
      </c>
      <c r="T329">
        <f t="shared" si="61"/>
        <v>0</v>
      </c>
      <c r="U329">
        <f t="shared" si="62"/>
        <v>0</v>
      </c>
      <c r="V329">
        <f t="shared" si="63"/>
        <v>0</v>
      </c>
      <c r="W329">
        <f t="shared" si="64"/>
        <v>0</v>
      </c>
      <c r="X329">
        <f t="shared" si="65"/>
        <v>0</v>
      </c>
      <c r="Y329">
        <f t="shared" si="66"/>
        <v>0</v>
      </c>
      <c r="Z329">
        <f t="shared" si="67"/>
        <v>0</v>
      </c>
      <c r="AA329" t="str">
        <f>INDEX('Priority activities'!$D$5:$D$86,MATCH('Database for analysis'!C329,'Priority activities'!$C$5:$C$86,0))</f>
        <v>Staff and training</v>
      </c>
    </row>
    <row r="330" spans="2:27" ht="16.5" thickTop="1" thickBot="1" x14ac:dyDescent="0.3">
      <c r="B330" t="s">
        <v>195</v>
      </c>
      <c r="C330" s="22" t="str">
        <f>'Costing inputs'!$C$172</f>
        <v>In-service training - Dedicated FP providers (SDA4.3)</v>
      </c>
      <c r="D330" s="22" t="str">
        <f>'Costing inputs'!$U$172</f>
        <v>Evenly by province/region</v>
      </c>
      <c r="E330" s="22" t="str">
        <f>'Regional splits'!$J$14</f>
        <v>North Western</v>
      </c>
      <c r="F330">
        <v>0</v>
      </c>
      <c r="G330">
        <v>26476.649600000004</v>
      </c>
      <c r="H330">
        <v>26476.649600000004</v>
      </c>
      <c r="I330">
        <v>0</v>
      </c>
      <c r="J330">
        <v>0</v>
      </c>
      <c r="K330">
        <v>0</v>
      </c>
      <c r="L330">
        <v>0</v>
      </c>
      <c r="M330">
        <v>0</v>
      </c>
      <c r="N330">
        <v>0</v>
      </c>
      <c r="O330">
        <v>0</v>
      </c>
      <c r="P330" s="5">
        <f t="shared" si="57"/>
        <v>52953.299200000009</v>
      </c>
      <c r="Q330">
        <f t="shared" si="58"/>
        <v>0</v>
      </c>
      <c r="R330">
        <f t="shared" si="59"/>
        <v>26476.649600000004</v>
      </c>
      <c r="S330">
        <f t="shared" si="60"/>
        <v>26476.649600000004</v>
      </c>
      <c r="T330">
        <f t="shared" si="61"/>
        <v>0</v>
      </c>
      <c r="U330">
        <f t="shared" si="62"/>
        <v>0</v>
      </c>
      <c r="V330">
        <f t="shared" si="63"/>
        <v>0</v>
      </c>
      <c r="W330">
        <f t="shared" si="64"/>
        <v>0</v>
      </c>
      <c r="X330">
        <f t="shared" si="65"/>
        <v>0</v>
      </c>
      <c r="Y330">
        <f t="shared" si="66"/>
        <v>0</v>
      </c>
      <c r="Z330">
        <f t="shared" si="67"/>
        <v>0</v>
      </c>
      <c r="AA330" t="str">
        <f>INDEX('Priority activities'!$D$5:$D$86,MATCH('Database for analysis'!C330,'Priority activities'!$C$5:$C$86,0))</f>
        <v>Staff and training</v>
      </c>
    </row>
    <row r="331" spans="2:27" ht="16.5" thickTop="1" thickBot="1" x14ac:dyDescent="0.3">
      <c r="B331" t="s">
        <v>195</v>
      </c>
      <c r="C331" s="22" t="str">
        <f>'Costing inputs'!$C$172</f>
        <v>In-service training - Dedicated FP providers (SDA4.3)</v>
      </c>
      <c r="D331" s="22" t="str">
        <f>'Costing inputs'!$U$172</f>
        <v>Evenly by province/region</v>
      </c>
      <c r="E331" s="22" t="str">
        <f>'Regional splits'!$K$14</f>
        <v>Southern</v>
      </c>
      <c r="F331">
        <v>0</v>
      </c>
      <c r="G331">
        <v>26476.649600000004</v>
      </c>
      <c r="H331">
        <v>26476.649600000004</v>
      </c>
      <c r="I331">
        <v>0</v>
      </c>
      <c r="J331">
        <v>0</v>
      </c>
      <c r="K331">
        <v>0</v>
      </c>
      <c r="L331">
        <v>0</v>
      </c>
      <c r="M331">
        <v>0</v>
      </c>
      <c r="N331">
        <v>0</v>
      </c>
      <c r="O331">
        <v>0</v>
      </c>
      <c r="P331" s="5">
        <f t="shared" si="57"/>
        <v>52953.299200000009</v>
      </c>
      <c r="Q331">
        <f t="shared" si="58"/>
        <v>0</v>
      </c>
      <c r="R331">
        <f t="shared" si="59"/>
        <v>26476.649600000004</v>
      </c>
      <c r="S331">
        <f t="shared" si="60"/>
        <v>26476.649600000004</v>
      </c>
      <c r="T331">
        <f t="shared" si="61"/>
        <v>0</v>
      </c>
      <c r="U331">
        <f t="shared" si="62"/>
        <v>0</v>
      </c>
      <c r="V331">
        <f t="shared" si="63"/>
        <v>0</v>
      </c>
      <c r="W331">
        <f t="shared" si="64"/>
        <v>0</v>
      </c>
      <c r="X331">
        <f t="shared" si="65"/>
        <v>0</v>
      </c>
      <c r="Y331">
        <f t="shared" si="66"/>
        <v>0</v>
      </c>
      <c r="Z331">
        <f t="shared" si="67"/>
        <v>0</v>
      </c>
      <c r="AA331" t="str">
        <f>INDEX('Priority activities'!$D$5:$D$86,MATCH('Database for analysis'!C331,'Priority activities'!$C$5:$C$86,0))</f>
        <v>Staff and training</v>
      </c>
    </row>
    <row r="332" spans="2:27" ht="16.5" thickTop="1" thickBot="1" x14ac:dyDescent="0.3">
      <c r="B332" t="s">
        <v>195</v>
      </c>
      <c r="C332" s="22" t="str">
        <f>'Costing inputs'!$C$172</f>
        <v>In-service training - Dedicated FP providers (SDA4.3)</v>
      </c>
      <c r="D332" s="22" t="str">
        <f>'Costing inputs'!$U$172</f>
        <v>Evenly by province/region</v>
      </c>
      <c r="E332" s="22" t="str">
        <f>'Regional splits'!$L$14</f>
        <v>Western</v>
      </c>
      <c r="F332">
        <v>0</v>
      </c>
      <c r="G332">
        <v>26476.649600000004</v>
      </c>
      <c r="H332">
        <v>26476.649600000004</v>
      </c>
      <c r="I332">
        <v>0</v>
      </c>
      <c r="J332">
        <v>0</v>
      </c>
      <c r="K332">
        <v>0</v>
      </c>
      <c r="L332">
        <v>0</v>
      </c>
      <c r="M332">
        <v>0</v>
      </c>
      <c r="N332">
        <v>0</v>
      </c>
      <c r="O332">
        <v>0</v>
      </c>
      <c r="P332" s="5">
        <f t="shared" si="57"/>
        <v>52953.299200000009</v>
      </c>
      <c r="Q332">
        <f t="shared" si="58"/>
        <v>0</v>
      </c>
      <c r="R332">
        <f t="shared" si="59"/>
        <v>26476.649600000004</v>
      </c>
      <c r="S332">
        <f t="shared" si="60"/>
        <v>26476.649600000004</v>
      </c>
      <c r="T332">
        <f t="shared" si="61"/>
        <v>0</v>
      </c>
      <c r="U332">
        <f t="shared" si="62"/>
        <v>0</v>
      </c>
      <c r="V332">
        <f t="shared" si="63"/>
        <v>0</v>
      </c>
      <c r="W332">
        <f t="shared" si="64"/>
        <v>0</v>
      </c>
      <c r="X332">
        <f t="shared" si="65"/>
        <v>0</v>
      </c>
      <c r="Y332">
        <f t="shared" si="66"/>
        <v>0</v>
      </c>
      <c r="Z332">
        <f t="shared" si="67"/>
        <v>0</v>
      </c>
      <c r="AA332" t="str">
        <f>INDEX('Priority activities'!$D$5:$D$86,MATCH('Database for analysis'!C332,'Priority activities'!$C$5:$C$86,0))</f>
        <v>Staff and training</v>
      </c>
    </row>
    <row r="333" spans="2:27" ht="16.5" thickTop="1" thickBot="1" x14ac:dyDescent="0.3">
      <c r="B333" t="s">
        <v>195</v>
      </c>
      <c r="C333" s="22" t="str">
        <f>'Costing inputs'!$C$172</f>
        <v>In-service training - Dedicated FP providers (SDA4.3)</v>
      </c>
      <c r="D333" s="22" t="str">
        <f>'Costing inputs'!$U$172</f>
        <v>Evenly by province/region</v>
      </c>
      <c r="E333" s="22">
        <f>'Regional splits'!$M$14</f>
        <v>0</v>
      </c>
      <c r="F333">
        <v>0</v>
      </c>
      <c r="G333">
        <v>0</v>
      </c>
      <c r="H333">
        <v>0</v>
      </c>
      <c r="I333">
        <v>0</v>
      </c>
      <c r="J333">
        <v>0</v>
      </c>
      <c r="K333">
        <v>0</v>
      </c>
      <c r="L333">
        <v>0</v>
      </c>
      <c r="M333">
        <v>0</v>
      </c>
      <c r="N333">
        <v>0</v>
      </c>
      <c r="O333">
        <v>0</v>
      </c>
      <c r="P333" s="5">
        <f t="shared" si="57"/>
        <v>0</v>
      </c>
      <c r="Q333">
        <f t="shared" si="58"/>
        <v>0</v>
      </c>
      <c r="R333">
        <f t="shared" si="59"/>
        <v>0</v>
      </c>
      <c r="S333">
        <f t="shared" si="60"/>
        <v>0</v>
      </c>
      <c r="T333">
        <f t="shared" si="61"/>
        <v>0</v>
      </c>
      <c r="U333">
        <f t="shared" si="62"/>
        <v>0</v>
      </c>
      <c r="V333">
        <f t="shared" si="63"/>
        <v>0</v>
      </c>
      <c r="W333">
        <f t="shared" si="64"/>
        <v>0</v>
      </c>
      <c r="X333">
        <f t="shared" si="65"/>
        <v>0</v>
      </c>
      <c r="Y333">
        <f t="shared" si="66"/>
        <v>0</v>
      </c>
      <c r="Z333">
        <f t="shared" si="67"/>
        <v>0</v>
      </c>
      <c r="AA333" t="str">
        <f>INDEX('Priority activities'!$D$5:$D$86,MATCH('Database for analysis'!C333,'Priority activities'!$C$5:$C$86,0))</f>
        <v>Staff and training</v>
      </c>
    </row>
    <row r="334" spans="2:27" ht="16.5" thickTop="1" thickBot="1" x14ac:dyDescent="0.3">
      <c r="B334" t="s">
        <v>195</v>
      </c>
      <c r="C334" s="22" t="str">
        <f>'Costing inputs'!$C$172</f>
        <v>In-service training - Dedicated FP providers (SDA4.3)</v>
      </c>
      <c r="D334" s="22" t="str">
        <f>'Costing inputs'!$U$172</f>
        <v>Evenly by province/region</v>
      </c>
      <c r="E334" s="22">
        <f>'Regional splits'!$N$14</f>
        <v>0</v>
      </c>
      <c r="F334">
        <v>0</v>
      </c>
      <c r="G334">
        <v>0</v>
      </c>
      <c r="H334">
        <v>0</v>
      </c>
      <c r="I334">
        <v>0</v>
      </c>
      <c r="J334">
        <v>0</v>
      </c>
      <c r="K334">
        <v>0</v>
      </c>
      <c r="L334">
        <v>0</v>
      </c>
      <c r="M334">
        <v>0</v>
      </c>
      <c r="N334">
        <v>0</v>
      </c>
      <c r="O334">
        <v>0</v>
      </c>
      <c r="P334" s="5">
        <f t="shared" si="57"/>
        <v>0</v>
      </c>
      <c r="Q334">
        <f t="shared" si="58"/>
        <v>0</v>
      </c>
      <c r="R334">
        <f t="shared" si="59"/>
        <v>0</v>
      </c>
      <c r="S334">
        <f t="shared" si="60"/>
        <v>0</v>
      </c>
      <c r="T334">
        <f t="shared" si="61"/>
        <v>0</v>
      </c>
      <c r="U334">
        <f t="shared" si="62"/>
        <v>0</v>
      </c>
      <c r="V334">
        <f t="shared" si="63"/>
        <v>0</v>
      </c>
      <c r="W334">
        <f t="shared" si="64"/>
        <v>0</v>
      </c>
      <c r="X334">
        <f t="shared" si="65"/>
        <v>0</v>
      </c>
      <c r="Y334">
        <f t="shared" si="66"/>
        <v>0</v>
      </c>
      <c r="Z334">
        <f t="shared" si="67"/>
        <v>0</v>
      </c>
      <c r="AA334" t="str">
        <f>INDEX('Priority activities'!$D$5:$D$86,MATCH('Database for analysis'!C334,'Priority activities'!$C$5:$C$86,0))</f>
        <v>Staff and training</v>
      </c>
    </row>
    <row r="335" spans="2:27" ht="16.5" thickTop="1" thickBot="1" x14ac:dyDescent="0.3">
      <c r="B335" t="s">
        <v>195</v>
      </c>
      <c r="C335" s="22" t="str">
        <f>'Costing inputs'!$C$172</f>
        <v>In-service training - Dedicated FP providers (SDA4.3)</v>
      </c>
      <c r="D335" s="22" t="str">
        <f>'Costing inputs'!$U$172</f>
        <v>Evenly by province/region</v>
      </c>
      <c r="E335" s="22">
        <f>'Regional splits'!$O$14</f>
        <v>0</v>
      </c>
      <c r="F335">
        <v>0</v>
      </c>
      <c r="G335">
        <v>0</v>
      </c>
      <c r="H335">
        <v>0</v>
      </c>
      <c r="I335">
        <v>0</v>
      </c>
      <c r="J335">
        <v>0</v>
      </c>
      <c r="K335">
        <v>0</v>
      </c>
      <c r="L335">
        <v>0</v>
      </c>
      <c r="M335">
        <v>0</v>
      </c>
      <c r="N335">
        <v>0</v>
      </c>
      <c r="O335">
        <v>0</v>
      </c>
      <c r="P335" s="5">
        <f t="shared" si="57"/>
        <v>0</v>
      </c>
      <c r="Q335">
        <f t="shared" si="58"/>
        <v>0</v>
      </c>
      <c r="R335">
        <f t="shared" si="59"/>
        <v>0</v>
      </c>
      <c r="S335">
        <f t="shared" si="60"/>
        <v>0</v>
      </c>
      <c r="T335">
        <f t="shared" si="61"/>
        <v>0</v>
      </c>
      <c r="U335">
        <f t="shared" si="62"/>
        <v>0</v>
      </c>
      <c r="V335">
        <f t="shared" si="63"/>
        <v>0</v>
      </c>
      <c r="W335">
        <f t="shared" si="64"/>
        <v>0</v>
      </c>
      <c r="X335">
        <f t="shared" si="65"/>
        <v>0</v>
      </c>
      <c r="Y335">
        <f t="shared" si="66"/>
        <v>0</v>
      </c>
      <c r="Z335">
        <f t="shared" si="67"/>
        <v>0</v>
      </c>
      <c r="AA335" t="str">
        <f>INDEX('Priority activities'!$D$5:$D$86,MATCH('Database for analysis'!C335,'Priority activities'!$C$5:$C$86,0))</f>
        <v>Staff and training</v>
      </c>
    </row>
    <row r="336" spans="2:27" ht="16.5" thickTop="1" thickBot="1" x14ac:dyDescent="0.3">
      <c r="B336" t="s">
        <v>195</v>
      </c>
      <c r="C336" s="22" t="str">
        <f>'Costing inputs'!$C$172</f>
        <v>In-service training - Dedicated FP providers (SDA4.3)</v>
      </c>
      <c r="D336" s="22" t="str">
        <f>'Costing inputs'!$U$172</f>
        <v>Evenly by province/region</v>
      </c>
      <c r="E336" s="22">
        <f>'Regional splits'!$P$14</f>
        <v>0</v>
      </c>
      <c r="F336">
        <v>0</v>
      </c>
      <c r="G336">
        <v>0</v>
      </c>
      <c r="H336">
        <v>0</v>
      </c>
      <c r="I336">
        <v>0</v>
      </c>
      <c r="J336">
        <v>0</v>
      </c>
      <c r="K336">
        <v>0</v>
      </c>
      <c r="L336">
        <v>0</v>
      </c>
      <c r="M336">
        <v>0</v>
      </c>
      <c r="N336">
        <v>0</v>
      </c>
      <c r="O336">
        <v>0</v>
      </c>
      <c r="P336" s="5">
        <f t="shared" si="57"/>
        <v>0</v>
      </c>
      <c r="Q336">
        <f t="shared" si="58"/>
        <v>0</v>
      </c>
      <c r="R336">
        <f t="shared" si="59"/>
        <v>0</v>
      </c>
      <c r="S336">
        <f t="shared" si="60"/>
        <v>0</v>
      </c>
      <c r="T336">
        <f t="shared" si="61"/>
        <v>0</v>
      </c>
      <c r="U336">
        <f t="shared" si="62"/>
        <v>0</v>
      </c>
      <c r="V336">
        <f t="shared" si="63"/>
        <v>0</v>
      </c>
      <c r="W336">
        <f t="shared" si="64"/>
        <v>0</v>
      </c>
      <c r="X336">
        <f t="shared" si="65"/>
        <v>0</v>
      </c>
      <c r="Y336">
        <f t="shared" si="66"/>
        <v>0</v>
      </c>
      <c r="Z336">
        <f t="shared" si="67"/>
        <v>0</v>
      </c>
      <c r="AA336" t="str">
        <f>INDEX('Priority activities'!$D$5:$D$86,MATCH('Database for analysis'!C336,'Priority activities'!$C$5:$C$86,0))</f>
        <v>Staff and training</v>
      </c>
    </row>
    <row r="337" spans="2:27" ht="16.5" thickTop="1" thickBot="1" x14ac:dyDescent="0.3">
      <c r="B337" t="s">
        <v>195</v>
      </c>
      <c r="C337" s="22" t="str">
        <f>'Costing inputs'!$C$172</f>
        <v>In-service training - Dedicated FP providers (SDA4.3)</v>
      </c>
      <c r="D337" s="22" t="str">
        <f>'Costing inputs'!$U$172</f>
        <v>Evenly by province/region</v>
      </c>
      <c r="E337" s="22">
        <f>'Regional splits'!$Q$14</f>
        <v>0</v>
      </c>
      <c r="F337">
        <v>0</v>
      </c>
      <c r="G337">
        <v>0</v>
      </c>
      <c r="H337">
        <v>0</v>
      </c>
      <c r="I337">
        <v>0</v>
      </c>
      <c r="J337">
        <v>0</v>
      </c>
      <c r="K337">
        <v>0</v>
      </c>
      <c r="L337">
        <v>0</v>
      </c>
      <c r="M337">
        <v>0</v>
      </c>
      <c r="N337">
        <v>0</v>
      </c>
      <c r="O337">
        <v>0</v>
      </c>
      <c r="P337" s="5">
        <f t="shared" si="57"/>
        <v>0</v>
      </c>
      <c r="Q337">
        <f t="shared" si="58"/>
        <v>0</v>
      </c>
      <c r="R337">
        <f t="shared" si="59"/>
        <v>0</v>
      </c>
      <c r="S337">
        <f t="shared" si="60"/>
        <v>0</v>
      </c>
      <c r="T337">
        <f t="shared" si="61"/>
        <v>0</v>
      </c>
      <c r="U337">
        <f t="shared" si="62"/>
        <v>0</v>
      </c>
      <c r="V337">
        <f t="shared" si="63"/>
        <v>0</v>
      </c>
      <c r="W337">
        <f t="shared" si="64"/>
        <v>0</v>
      </c>
      <c r="X337">
        <f t="shared" si="65"/>
        <v>0</v>
      </c>
      <c r="Y337">
        <f t="shared" si="66"/>
        <v>0</v>
      </c>
      <c r="Z337">
        <f t="shared" si="67"/>
        <v>0</v>
      </c>
      <c r="AA337" t="str">
        <f>INDEX('Priority activities'!$D$5:$D$86,MATCH('Database for analysis'!C337,'Priority activities'!$C$5:$C$86,0))</f>
        <v>Staff and training</v>
      </c>
    </row>
    <row r="338" spans="2:27" ht="16.5" thickTop="1" thickBot="1" x14ac:dyDescent="0.3">
      <c r="B338" t="s">
        <v>195</v>
      </c>
      <c r="C338" s="22" t="str">
        <f>'Costing inputs'!$C$172</f>
        <v>In-service training - Dedicated FP providers (SDA4.3)</v>
      </c>
      <c r="D338" s="22" t="str">
        <f>'Costing inputs'!$U$172</f>
        <v>Evenly by province/region</v>
      </c>
      <c r="E338" s="22" t="str">
        <f>'Regional splits'!$R$14</f>
        <v>National-level</v>
      </c>
      <c r="F338">
        <v>0</v>
      </c>
      <c r="G338">
        <v>0</v>
      </c>
      <c r="H338">
        <v>0</v>
      </c>
      <c r="I338">
        <v>0</v>
      </c>
      <c r="J338">
        <v>0</v>
      </c>
      <c r="K338">
        <v>0</v>
      </c>
      <c r="L338">
        <v>0</v>
      </c>
      <c r="M338">
        <v>0</v>
      </c>
      <c r="N338">
        <v>0</v>
      </c>
      <c r="O338">
        <v>0</v>
      </c>
      <c r="P338" s="5">
        <f t="shared" si="57"/>
        <v>0</v>
      </c>
      <c r="Q338">
        <f t="shared" si="58"/>
        <v>0</v>
      </c>
      <c r="R338">
        <f t="shared" si="59"/>
        <v>0</v>
      </c>
      <c r="S338">
        <f t="shared" si="60"/>
        <v>0</v>
      </c>
      <c r="T338">
        <f t="shared" si="61"/>
        <v>0</v>
      </c>
      <c r="U338">
        <f t="shared" si="62"/>
        <v>0</v>
      </c>
      <c r="V338">
        <f t="shared" si="63"/>
        <v>0</v>
      </c>
      <c r="W338">
        <f t="shared" si="64"/>
        <v>0</v>
      </c>
      <c r="X338">
        <f t="shared" si="65"/>
        <v>0</v>
      </c>
      <c r="Y338">
        <f t="shared" si="66"/>
        <v>0</v>
      </c>
      <c r="Z338">
        <f t="shared" si="67"/>
        <v>0</v>
      </c>
      <c r="AA338" t="str">
        <f>INDEX('Priority activities'!$D$5:$D$86,MATCH('Database for analysis'!C338,'Priority activities'!$C$5:$C$86,0))</f>
        <v>Staff and training</v>
      </c>
    </row>
    <row r="339" spans="2:27" ht="16.5" thickTop="1" thickBot="1" x14ac:dyDescent="0.3">
      <c r="B339" t="s">
        <v>195</v>
      </c>
      <c r="C339" s="22" t="str">
        <f>'Costing inputs'!$C$177</f>
        <v>In-service training - LARC training (SDA4.1)</v>
      </c>
      <c r="D339" s="22" t="str">
        <f>'Costing inputs'!$U$177</f>
        <v>Districts</v>
      </c>
      <c r="E339" s="22" t="str">
        <f>'Regional splits'!$C$14</f>
        <v>Central</v>
      </c>
      <c r="F339">
        <f t="array" ref="F339:O354">'Costing inputs'!S177*'Costing inputs'!AP177:AY177*TRANSPOSE('Costing inputs'!W177:AL177)</f>
        <v>324857.79033333331</v>
      </c>
      <c r="G339">
        <v>324857.79033333331</v>
      </c>
      <c r="H339">
        <v>324857.79033333331</v>
      </c>
      <c r="I339">
        <v>324857.79033333331</v>
      </c>
      <c r="J339">
        <v>324857.79033333331</v>
      </c>
      <c r="K339">
        <v>324857.79033333331</v>
      </c>
      <c r="L339">
        <v>324857.79033333331</v>
      </c>
      <c r="M339">
        <v>324857.79033333331</v>
      </c>
      <c r="N339">
        <v>0</v>
      </c>
      <c r="O339">
        <v>0</v>
      </c>
      <c r="P339" s="5">
        <f t="shared" si="57"/>
        <v>2598862.3226666669</v>
      </c>
      <c r="Q339">
        <f t="shared" si="58"/>
        <v>324857.79033333331</v>
      </c>
      <c r="R339">
        <f t="shared" si="59"/>
        <v>324857.79033333331</v>
      </c>
      <c r="S339">
        <f t="shared" si="60"/>
        <v>324857.79033333331</v>
      </c>
      <c r="T339">
        <f t="shared" si="61"/>
        <v>324857.79033333331</v>
      </c>
      <c r="U339">
        <f t="shared" si="62"/>
        <v>324857.79033333331</v>
      </c>
      <c r="V339">
        <f t="shared" si="63"/>
        <v>324857.79033333331</v>
      </c>
      <c r="W339">
        <f t="shared" si="64"/>
        <v>324857.79033333331</v>
      </c>
      <c r="X339">
        <f t="shared" si="65"/>
        <v>324857.79033333331</v>
      </c>
      <c r="Y339">
        <f t="shared" si="66"/>
        <v>0</v>
      </c>
      <c r="Z339">
        <f t="shared" si="67"/>
        <v>0</v>
      </c>
      <c r="AA339" t="str">
        <f>INDEX('Priority activities'!$D$5:$D$86,MATCH('Database for analysis'!C339,'Priority activities'!$C$5:$C$86,0))</f>
        <v>Staff and training</v>
      </c>
    </row>
    <row r="340" spans="2:27" ht="16.5" thickTop="1" thickBot="1" x14ac:dyDescent="0.3">
      <c r="B340" t="s">
        <v>195</v>
      </c>
      <c r="C340" s="22" t="str">
        <f>'Costing inputs'!$C$177</f>
        <v>In-service training - LARC training (SDA4.1)</v>
      </c>
      <c r="D340" s="22" t="str">
        <f>'Costing inputs'!$U$177</f>
        <v>Districts</v>
      </c>
      <c r="E340" s="22" t="str">
        <f>'Regional splits'!$D$14</f>
        <v>Copperbelt</v>
      </c>
      <c r="F340">
        <v>541429.65055555559</v>
      </c>
      <c r="G340">
        <v>541429.65055555559</v>
      </c>
      <c r="H340">
        <v>541429.65055555559</v>
      </c>
      <c r="I340">
        <v>541429.65055555559</v>
      </c>
      <c r="J340">
        <v>541429.65055555559</v>
      </c>
      <c r="K340">
        <v>541429.65055555559</v>
      </c>
      <c r="L340">
        <v>541429.65055555559</v>
      </c>
      <c r="M340">
        <v>541429.65055555559</v>
      </c>
      <c r="N340">
        <v>0</v>
      </c>
      <c r="O340">
        <v>0</v>
      </c>
      <c r="P340" s="5">
        <f t="shared" si="57"/>
        <v>4331437.2044444447</v>
      </c>
      <c r="Q340">
        <f t="shared" si="58"/>
        <v>541429.65055555559</v>
      </c>
      <c r="R340">
        <f t="shared" si="59"/>
        <v>541429.65055555559</v>
      </c>
      <c r="S340">
        <f t="shared" si="60"/>
        <v>541429.65055555559</v>
      </c>
      <c r="T340">
        <f t="shared" si="61"/>
        <v>541429.65055555559</v>
      </c>
      <c r="U340">
        <f t="shared" si="62"/>
        <v>541429.65055555559</v>
      </c>
      <c r="V340">
        <f t="shared" si="63"/>
        <v>541429.65055555559</v>
      </c>
      <c r="W340">
        <f t="shared" si="64"/>
        <v>541429.65055555559</v>
      </c>
      <c r="X340">
        <f t="shared" si="65"/>
        <v>541429.65055555559</v>
      </c>
      <c r="Y340">
        <f t="shared" si="66"/>
        <v>0</v>
      </c>
      <c r="Z340">
        <f t="shared" si="67"/>
        <v>0</v>
      </c>
      <c r="AA340" t="str">
        <f>INDEX('Priority activities'!$D$5:$D$86,MATCH('Database for analysis'!C340,'Priority activities'!$C$5:$C$86,0))</f>
        <v>Staff and training</v>
      </c>
    </row>
    <row r="341" spans="2:27" ht="16.5" thickTop="1" thickBot="1" x14ac:dyDescent="0.3">
      <c r="B341" t="s">
        <v>195</v>
      </c>
      <c r="C341" s="22" t="str">
        <f>'Costing inputs'!$C$177</f>
        <v>In-service training - LARC training (SDA4.1)</v>
      </c>
      <c r="D341" s="22" t="str">
        <f>'Costing inputs'!$U$177</f>
        <v>Districts</v>
      </c>
      <c r="E341" s="22" t="str">
        <f>'Regional splits'!$E$14</f>
        <v>Eastern</v>
      </c>
      <c r="F341">
        <v>379000.75538888894</v>
      </c>
      <c r="G341">
        <v>379000.75538888894</v>
      </c>
      <c r="H341">
        <v>379000.75538888894</v>
      </c>
      <c r="I341">
        <v>379000.75538888894</v>
      </c>
      <c r="J341">
        <v>379000.75538888894</v>
      </c>
      <c r="K341">
        <v>379000.75538888894</v>
      </c>
      <c r="L341">
        <v>379000.75538888894</v>
      </c>
      <c r="M341">
        <v>379000.75538888894</v>
      </c>
      <c r="N341">
        <v>0</v>
      </c>
      <c r="O341">
        <v>0</v>
      </c>
      <c r="P341" s="5">
        <f t="shared" si="57"/>
        <v>3032006.0431111115</v>
      </c>
      <c r="Q341">
        <f t="shared" si="58"/>
        <v>379000.75538888894</v>
      </c>
      <c r="R341">
        <f t="shared" si="59"/>
        <v>379000.75538888894</v>
      </c>
      <c r="S341">
        <f t="shared" si="60"/>
        <v>379000.75538888894</v>
      </c>
      <c r="T341">
        <f t="shared" si="61"/>
        <v>379000.75538888894</v>
      </c>
      <c r="U341">
        <f t="shared" si="62"/>
        <v>379000.75538888894</v>
      </c>
      <c r="V341">
        <f t="shared" si="63"/>
        <v>379000.75538888894</v>
      </c>
      <c r="W341">
        <f t="shared" si="64"/>
        <v>379000.75538888894</v>
      </c>
      <c r="X341">
        <f t="shared" si="65"/>
        <v>379000.75538888894</v>
      </c>
      <c r="Y341">
        <f t="shared" si="66"/>
        <v>0</v>
      </c>
      <c r="Z341">
        <f t="shared" si="67"/>
        <v>0</v>
      </c>
      <c r="AA341" t="str">
        <f>INDEX('Priority activities'!$D$5:$D$86,MATCH('Database for analysis'!C341,'Priority activities'!$C$5:$C$86,0))</f>
        <v>Staff and training</v>
      </c>
    </row>
    <row r="342" spans="2:27" ht="16.5" thickTop="1" thickBot="1" x14ac:dyDescent="0.3">
      <c r="B342" t="s">
        <v>195</v>
      </c>
      <c r="C342" s="22" t="str">
        <f>'Costing inputs'!$C$177</f>
        <v>In-service training - LARC training (SDA4.1)</v>
      </c>
      <c r="D342" s="22" t="str">
        <f>'Costing inputs'!$U$177</f>
        <v>Districts</v>
      </c>
      <c r="E342" s="22" t="str">
        <f>'Regional splits'!$F$14</f>
        <v>Luapula</v>
      </c>
      <c r="F342">
        <v>379000.75538888894</v>
      </c>
      <c r="G342">
        <v>379000.75538888894</v>
      </c>
      <c r="H342">
        <v>379000.75538888894</v>
      </c>
      <c r="I342">
        <v>379000.75538888894</v>
      </c>
      <c r="J342">
        <v>379000.75538888894</v>
      </c>
      <c r="K342">
        <v>379000.75538888894</v>
      </c>
      <c r="L342">
        <v>379000.75538888894</v>
      </c>
      <c r="M342">
        <v>379000.75538888894</v>
      </c>
      <c r="N342">
        <v>0</v>
      </c>
      <c r="O342">
        <v>0</v>
      </c>
      <c r="P342" s="5">
        <f t="shared" si="57"/>
        <v>3032006.0431111115</v>
      </c>
      <c r="Q342">
        <f t="shared" si="58"/>
        <v>379000.75538888894</v>
      </c>
      <c r="R342">
        <f t="shared" si="59"/>
        <v>379000.75538888894</v>
      </c>
      <c r="S342">
        <f t="shared" si="60"/>
        <v>379000.75538888894</v>
      </c>
      <c r="T342">
        <f t="shared" si="61"/>
        <v>379000.75538888894</v>
      </c>
      <c r="U342">
        <f t="shared" si="62"/>
        <v>379000.75538888894</v>
      </c>
      <c r="V342">
        <f t="shared" si="63"/>
        <v>379000.75538888894</v>
      </c>
      <c r="W342">
        <f t="shared" si="64"/>
        <v>379000.75538888894</v>
      </c>
      <c r="X342">
        <f t="shared" si="65"/>
        <v>379000.75538888894</v>
      </c>
      <c r="Y342">
        <f t="shared" si="66"/>
        <v>0</v>
      </c>
      <c r="Z342">
        <f t="shared" si="67"/>
        <v>0</v>
      </c>
      <c r="AA342" t="str">
        <f>INDEX('Priority activities'!$D$5:$D$86,MATCH('Database for analysis'!C342,'Priority activities'!$C$5:$C$86,0))</f>
        <v>Staff and training</v>
      </c>
    </row>
    <row r="343" spans="2:27" ht="16.5" thickTop="1" thickBot="1" x14ac:dyDescent="0.3">
      <c r="B343" t="s">
        <v>195</v>
      </c>
      <c r="C343" s="22" t="str">
        <f>'Costing inputs'!$C$177</f>
        <v>In-service training - LARC training (SDA4.1)</v>
      </c>
      <c r="D343" s="22" t="str">
        <f>'Costing inputs'!$U$177</f>
        <v>Districts</v>
      </c>
      <c r="E343" s="22" t="str">
        <f>'Regional splits'!$G$14</f>
        <v>Lusaka</v>
      </c>
      <c r="F343">
        <v>216571.86022222223</v>
      </c>
      <c r="G343">
        <v>216571.86022222223</v>
      </c>
      <c r="H343">
        <v>216571.86022222223</v>
      </c>
      <c r="I343">
        <v>216571.86022222223</v>
      </c>
      <c r="J343">
        <v>216571.86022222223</v>
      </c>
      <c r="K343">
        <v>216571.86022222223</v>
      </c>
      <c r="L343">
        <v>216571.86022222223</v>
      </c>
      <c r="M343">
        <v>216571.86022222223</v>
      </c>
      <c r="N343">
        <v>0</v>
      </c>
      <c r="O343">
        <v>0</v>
      </c>
      <c r="P343" s="5">
        <f t="shared" si="57"/>
        <v>1732574.881777778</v>
      </c>
      <c r="Q343">
        <f t="shared" si="58"/>
        <v>216571.86022222223</v>
      </c>
      <c r="R343">
        <f t="shared" si="59"/>
        <v>216571.86022222223</v>
      </c>
      <c r="S343">
        <f t="shared" si="60"/>
        <v>216571.86022222223</v>
      </c>
      <c r="T343">
        <f t="shared" si="61"/>
        <v>216571.86022222223</v>
      </c>
      <c r="U343">
        <f t="shared" si="62"/>
        <v>216571.86022222223</v>
      </c>
      <c r="V343">
        <f t="shared" si="63"/>
        <v>216571.86022222223</v>
      </c>
      <c r="W343">
        <f t="shared" si="64"/>
        <v>216571.86022222223</v>
      </c>
      <c r="X343">
        <f t="shared" si="65"/>
        <v>216571.86022222223</v>
      </c>
      <c r="Y343">
        <f t="shared" si="66"/>
        <v>0</v>
      </c>
      <c r="Z343">
        <f t="shared" si="67"/>
        <v>0</v>
      </c>
      <c r="AA343" t="str">
        <f>INDEX('Priority activities'!$D$5:$D$86,MATCH('Database for analysis'!C343,'Priority activities'!$C$5:$C$86,0))</f>
        <v>Staff and training</v>
      </c>
    </row>
    <row r="344" spans="2:27" ht="16.5" thickTop="1" thickBot="1" x14ac:dyDescent="0.3">
      <c r="B344" t="s">
        <v>195</v>
      </c>
      <c r="C344" s="22" t="str">
        <f>'Costing inputs'!$C$177</f>
        <v>In-service training - LARC training (SDA4.1)</v>
      </c>
      <c r="D344" s="22" t="str">
        <f>'Costing inputs'!$U$177</f>
        <v>Districts</v>
      </c>
      <c r="E344" s="22" t="str">
        <f>'Regional splits'!$H$14</f>
        <v>Muchinga</v>
      </c>
      <c r="F344">
        <v>270714.8252777778</v>
      </c>
      <c r="G344">
        <v>270714.8252777778</v>
      </c>
      <c r="H344">
        <v>270714.8252777778</v>
      </c>
      <c r="I344">
        <v>270714.8252777778</v>
      </c>
      <c r="J344">
        <v>270714.8252777778</v>
      </c>
      <c r="K344">
        <v>270714.8252777778</v>
      </c>
      <c r="L344">
        <v>270714.8252777778</v>
      </c>
      <c r="M344">
        <v>270714.8252777778</v>
      </c>
      <c r="N344">
        <v>0</v>
      </c>
      <c r="O344">
        <v>0</v>
      </c>
      <c r="P344" s="5">
        <f t="shared" si="57"/>
        <v>2165718.6022222224</v>
      </c>
      <c r="Q344">
        <f t="shared" si="58"/>
        <v>270714.8252777778</v>
      </c>
      <c r="R344">
        <f t="shared" si="59"/>
        <v>270714.8252777778</v>
      </c>
      <c r="S344">
        <f t="shared" si="60"/>
        <v>270714.8252777778</v>
      </c>
      <c r="T344">
        <f t="shared" si="61"/>
        <v>270714.8252777778</v>
      </c>
      <c r="U344">
        <f t="shared" si="62"/>
        <v>270714.8252777778</v>
      </c>
      <c r="V344">
        <f t="shared" si="63"/>
        <v>270714.8252777778</v>
      </c>
      <c r="W344">
        <f t="shared" si="64"/>
        <v>270714.8252777778</v>
      </c>
      <c r="X344">
        <f t="shared" si="65"/>
        <v>270714.8252777778</v>
      </c>
      <c r="Y344">
        <f t="shared" si="66"/>
        <v>0</v>
      </c>
      <c r="Z344">
        <f t="shared" si="67"/>
        <v>0</v>
      </c>
      <c r="AA344" t="str">
        <f>INDEX('Priority activities'!$D$5:$D$86,MATCH('Database for analysis'!C344,'Priority activities'!$C$5:$C$86,0))</f>
        <v>Staff and training</v>
      </c>
    </row>
    <row r="345" spans="2:27" ht="16.5" thickTop="1" thickBot="1" x14ac:dyDescent="0.3">
      <c r="B345" t="s">
        <v>195</v>
      </c>
      <c r="C345" s="22" t="str">
        <f>'Costing inputs'!$C$177</f>
        <v>In-service training - LARC training (SDA4.1)</v>
      </c>
      <c r="D345" s="22" t="str">
        <f>'Costing inputs'!$U$177</f>
        <v>Districts</v>
      </c>
      <c r="E345" s="22" t="str">
        <f>'Regional splits'!$I$14</f>
        <v>Northern</v>
      </c>
      <c r="F345">
        <v>433143.72044444445</v>
      </c>
      <c r="G345">
        <v>433143.72044444445</v>
      </c>
      <c r="H345">
        <v>433143.72044444445</v>
      </c>
      <c r="I345">
        <v>433143.72044444445</v>
      </c>
      <c r="J345">
        <v>433143.72044444445</v>
      </c>
      <c r="K345">
        <v>433143.72044444445</v>
      </c>
      <c r="L345">
        <v>433143.72044444445</v>
      </c>
      <c r="M345">
        <v>433143.72044444445</v>
      </c>
      <c r="N345">
        <v>0</v>
      </c>
      <c r="O345">
        <v>0</v>
      </c>
      <c r="P345" s="5">
        <f t="shared" si="57"/>
        <v>3465149.7635555561</v>
      </c>
      <c r="Q345">
        <f t="shared" si="58"/>
        <v>433143.72044444445</v>
      </c>
      <c r="R345">
        <f t="shared" si="59"/>
        <v>433143.72044444445</v>
      </c>
      <c r="S345">
        <f t="shared" si="60"/>
        <v>433143.72044444445</v>
      </c>
      <c r="T345">
        <f t="shared" si="61"/>
        <v>433143.72044444445</v>
      </c>
      <c r="U345">
        <f t="shared" si="62"/>
        <v>433143.72044444445</v>
      </c>
      <c r="V345">
        <f t="shared" si="63"/>
        <v>433143.72044444445</v>
      </c>
      <c r="W345">
        <f t="shared" si="64"/>
        <v>433143.72044444445</v>
      </c>
      <c r="X345">
        <f t="shared" si="65"/>
        <v>433143.72044444445</v>
      </c>
      <c r="Y345">
        <f t="shared" si="66"/>
        <v>0</v>
      </c>
      <c r="Z345">
        <f t="shared" si="67"/>
        <v>0</v>
      </c>
      <c r="AA345" t="str">
        <f>INDEX('Priority activities'!$D$5:$D$86,MATCH('Database for analysis'!C345,'Priority activities'!$C$5:$C$86,0))</f>
        <v>Staff and training</v>
      </c>
    </row>
    <row r="346" spans="2:27" ht="16.5" thickTop="1" thickBot="1" x14ac:dyDescent="0.3">
      <c r="B346" t="s">
        <v>195</v>
      </c>
      <c r="C346" s="22" t="str">
        <f>'Costing inputs'!$C$177</f>
        <v>In-service training - LARC training (SDA4.1)</v>
      </c>
      <c r="D346" s="22" t="str">
        <f>'Costing inputs'!$U$177</f>
        <v>Districts</v>
      </c>
      <c r="E346" s="22" t="str">
        <f>'Regional splits'!$J$14</f>
        <v>North Western</v>
      </c>
      <c r="F346">
        <v>379000.75538888894</v>
      </c>
      <c r="G346">
        <v>379000.75538888894</v>
      </c>
      <c r="H346">
        <v>379000.75538888894</v>
      </c>
      <c r="I346">
        <v>379000.75538888894</v>
      </c>
      <c r="J346">
        <v>379000.75538888894</v>
      </c>
      <c r="K346">
        <v>379000.75538888894</v>
      </c>
      <c r="L346">
        <v>379000.75538888894</v>
      </c>
      <c r="M346">
        <v>379000.75538888894</v>
      </c>
      <c r="N346">
        <v>0</v>
      </c>
      <c r="O346">
        <v>0</v>
      </c>
      <c r="P346" s="5">
        <f t="shared" si="57"/>
        <v>3032006.0431111115</v>
      </c>
      <c r="Q346">
        <f t="shared" si="58"/>
        <v>379000.75538888894</v>
      </c>
      <c r="R346">
        <f t="shared" si="59"/>
        <v>379000.75538888894</v>
      </c>
      <c r="S346">
        <f t="shared" si="60"/>
        <v>379000.75538888894</v>
      </c>
      <c r="T346">
        <f t="shared" si="61"/>
        <v>379000.75538888894</v>
      </c>
      <c r="U346">
        <f t="shared" si="62"/>
        <v>379000.75538888894</v>
      </c>
      <c r="V346">
        <f t="shared" si="63"/>
        <v>379000.75538888894</v>
      </c>
      <c r="W346">
        <f t="shared" si="64"/>
        <v>379000.75538888894</v>
      </c>
      <c r="X346">
        <f t="shared" si="65"/>
        <v>379000.75538888894</v>
      </c>
      <c r="Y346">
        <f t="shared" si="66"/>
        <v>0</v>
      </c>
      <c r="Z346">
        <f t="shared" si="67"/>
        <v>0</v>
      </c>
      <c r="AA346" t="str">
        <f>INDEX('Priority activities'!$D$5:$D$86,MATCH('Database for analysis'!C346,'Priority activities'!$C$5:$C$86,0))</f>
        <v>Staff and training</v>
      </c>
    </row>
    <row r="347" spans="2:27" ht="16.5" thickTop="1" thickBot="1" x14ac:dyDescent="0.3">
      <c r="B347" t="s">
        <v>195</v>
      </c>
      <c r="C347" s="22" t="str">
        <f>'Costing inputs'!$C$177</f>
        <v>In-service training - LARC training (SDA4.1)</v>
      </c>
      <c r="D347" s="22" t="str">
        <f>'Costing inputs'!$U$177</f>
        <v>Districts</v>
      </c>
      <c r="E347" s="22" t="str">
        <f>'Regional splits'!$K$14</f>
        <v>Southern</v>
      </c>
      <c r="F347">
        <v>595572.61561111116</v>
      </c>
      <c r="G347">
        <v>595572.61561111116</v>
      </c>
      <c r="H347">
        <v>595572.61561111116</v>
      </c>
      <c r="I347">
        <v>595572.61561111116</v>
      </c>
      <c r="J347">
        <v>595572.61561111116</v>
      </c>
      <c r="K347">
        <v>595572.61561111116</v>
      </c>
      <c r="L347">
        <v>595572.61561111116</v>
      </c>
      <c r="M347">
        <v>595572.61561111116</v>
      </c>
      <c r="N347">
        <v>0</v>
      </c>
      <c r="O347">
        <v>0</v>
      </c>
      <c r="P347" s="5">
        <f t="shared" si="57"/>
        <v>4764580.9248888893</v>
      </c>
      <c r="Q347">
        <f t="shared" si="58"/>
        <v>595572.61561111116</v>
      </c>
      <c r="R347">
        <f t="shared" si="59"/>
        <v>595572.61561111116</v>
      </c>
      <c r="S347">
        <f t="shared" si="60"/>
        <v>595572.61561111116</v>
      </c>
      <c r="T347">
        <f t="shared" si="61"/>
        <v>595572.61561111116</v>
      </c>
      <c r="U347">
        <f t="shared" si="62"/>
        <v>595572.61561111116</v>
      </c>
      <c r="V347">
        <f t="shared" si="63"/>
        <v>595572.61561111116</v>
      </c>
      <c r="W347">
        <f t="shared" si="64"/>
        <v>595572.61561111116</v>
      </c>
      <c r="X347">
        <f t="shared" si="65"/>
        <v>595572.61561111116</v>
      </c>
      <c r="Y347">
        <f t="shared" si="66"/>
        <v>0</v>
      </c>
      <c r="Z347">
        <f t="shared" si="67"/>
        <v>0</v>
      </c>
      <c r="AA347" t="str">
        <f>INDEX('Priority activities'!$D$5:$D$86,MATCH('Database for analysis'!C347,'Priority activities'!$C$5:$C$86,0))</f>
        <v>Staff and training</v>
      </c>
    </row>
    <row r="348" spans="2:27" ht="16.5" thickTop="1" thickBot="1" x14ac:dyDescent="0.3">
      <c r="B348" t="s">
        <v>195</v>
      </c>
      <c r="C348" s="22" t="str">
        <f>'Costing inputs'!$C$177</f>
        <v>In-service training - LARC training (SDA4.1)</v>
      </c>
      <c r="D348" s="22" t="str">
        <f>'Costing inputs'!$U$177</f>
        <v>Districts</v>
      </c>
      <c r="E348" s="22" t="str">
        <f>'Regional splits'!$L$14</f>
        <v>Western</v>
      </c>
      <c r="F348">
        <v>379000.75538888894</v>
      </c>
      <c r="G348">
        <v>379000.75538888894</v>
      </c>
      <c r="H348">
        <v>379000.75538888894</v>
      </c>
      <c r="I348">
        <v>379000.75538888894</v>
      </c>
      <c r="J348">
        <v>379000.75538888894</v>
      </c>
      <c r="K348">
        <v>379000.75538888894</v>
      </c>
      <c r="L348">
        <v>379000.75538888894</v>
      </c>
      <c r="M348">
        <v>379000.75538888894</v>
      </c>
      <c r="N348">
        <v>0</v>
      </c>
      <c r="O348">
        <v>0</v>
      </c>
      <c r="P348" s="5">
        <f t="shared" si="57"/>
        <v>3032006.0431111115</v>
      </c>
      <c r="Q348">
        <f t="shared" si="58"/>
        <v>379000.75538888894</v>
      </c>
      <c r="R348">
        <f t="shared" si="59"/>
        <v>379000.75538888894</v>
      </c>
      <c r="S348">
        <f t="shared" si="60"/>
        <v>379000.75538888894</v>
      </c>
      <c r="T348">
        <f t="shared" si="61"/>
        <v>379000.75538888894</v>
      </c>
      <c r="U348">
        <f t="shared" si="62"/>
        <v>379000.75538888894</v>
      </c>
      <c r="V348">
        <f t="shared" si="63"/>
        <v>379000.75538888894</v>
      </c>
      <c r="W348">
        <f t="shared" si="64"/>
        <v>379000.75538888894</v>
      </c>
      <c r="X348">
        <f t="shared" si="65"/>
        <v>379000.75538888894</v>
      </c>
      <c r="Y348">
        <f t="shared" si="66"/>
        <v>0</v>
      </c>
      <c r="Z348">
        <f t="shared" si="67"/>
        <v>0</v>
      </c>
      <c r="AA348" t="str">
        <f>INDEX('Priority activities'!$D$5:$D$86,MATCH('Database for analysis'!C348,'Priority activities'!$C$5:$C$86,0))</f>
        <v>Staff and training</v>
      </c>
    </row>
    <row r="349" spans="2:27" ht="16.5" thickTop="1" thickBot="1" x14ac:dyDescent="0.3">
      <c r="B349" t="s">
        <v>195</v>
      </c>
      <c r="C349" s="22" t="str">
        <f>'Costing inputs'!$C$177</f>
        <v>In-service training - LARC training (SDA4.1)</v>
      </c>
      <c r="D349" s="22" t="str">
        <f>'Costing inputs'!$U$177</f>
        <v>Districts</v>
      </c>
      <c r="E349" s="22">
        <f>'Regional splits'!$M$14</f>
        <v>0</v>
      </c>
      <c r="F349">
        <v>0</v>
      </c>
      <c r="G349">
        <v>0</v>
      </c>
      <c r="H349">
        <v>0</v>
      </c>
      <c r="I349">
        <v>0</v>
      </c>
      <c r="J349">
        <v>0</v>
      </c>
      <c r="K349">
        <v>0</v>
      </c>
      <c r="L349">
        <v>0</v>
      </c>
      <c r="M349">
        <v>0</v>
      </c>
      <c r="N349">
        <v>0</v>
      </c>
      <c r="O349">
        <v>0</v>
      </c>
      <c r="P349" s="5">
        <f t="shared" si="57"/>
        <v>0</v>
      </c>
      <c r="Q349">
        <f t="shared" si="58"/>
        <v>0</v>
      </c>
      <c r="R349">
        <f t="shared" si="59"/>
        <v>0</v>
      </c>
      <c r="S349">
        <f t="shared" si="60"/>
        <v>0</v>
      </c>
      <c r="T349">
        <f t="shared" si="61"/>
        <v>0</v>
      </c>
      <c r="U349">
        <f t="shared" si="62"/>
        <v>0</v>
      </c>
      <c r="V349">
        <f t="shared" si="63"/>
        <v>0</v>
      </c>
      <c r="W349">
        <f t="shared" si="64"/>
        <v>0</v>
      </c>
      <c r="X349">
        <f t="shared" si="65"/>
        <v>0</v>
      </c>
      <c r="Y349">
        <f t="shared" si="66"/>
        <v>0</v>
      </c>
      <c r="Z349">
        <f t="shared" si="67"/>
        <v>0</v>
      </c>
      <c r="AA349" t="str">
        <f>INDEX('Priority activities'!$D$5:$D$86,MATCH('Database for analysis'!C349,'Priority activities'!$C$5:$C$86,0))</f>
        <v>Staff and training</v>
      </c>
    </row>
    <row r="350" spans="2:27" ht="16.5" thickTop="1" thickBot="1" x14ac:dyDescent="0.3">
      <c r="B350" t="s">
        <v>195</v>
      </c>
      <c r="C350" s="22" t="str">
        <f>'Costing inputs'!$C$177</f>
        <v>In-service training - LARC training (SDA4.1)</v>
      </c>
      <c r="D350" s="22" t="str">
        <f>'Costing inputs'!$U$177</f>
        <v>Districts</v>
      </c>
      <c r="E350" s="22">
        <f>'Regional splits'!$N$14</f>
        <v>0</v>
      </c>
      <c r="F350">
        <v>0</v>
      </c>
      <c r="G350">
        <v>0</v>
      </c>
      <c r="H350">
        <v>0</v>
      </c>
      <c r="I350">
        <v>0</v>
      </c>
      <c r="J350">
        <v>0</v>
      </c>
      <c r="K350">
        <v>0</v>
      </c>
      <c r="L350">
        <v>0</v>
      </c>
      <c r="M350">
        <v>0</v>
      </c>
      <c r="N350">
        <v>0</v>
      </c>
      <c r="O350">
        <v>0</v>
      </c>
      <c r="P350" s="5">
        <f t="shared" si="57"/>
        <v>0</v>
      </c>
      <c r="Q350">
        <f t="shared" si="58"/>
        <v>0</v>
      </c>
      <c r="R350">
        <f t="shared" si="59"/>
        <v>0</v>
      </c>
      <c r="S350">
        <f t="shared" si="60"/>
        <v>0</v>
      </c>
      <c r="T350">
        <f t="shared" si="61"/>
        <v>0</v>
      </c>
      <c r="U350">
        <f t="shared" si="62"/>
        <v>0</v>
      </c>
      <c r="V350">
        <f t="shared" si="63"/>
        <v>0</v>
      </c>
      <c r="W350">
        <f t="shared" si="64"/>
        <v>0</v>
      </c>
      <c r="X350">
        <f t="shared" si="65"/>
        <v>0</v>
      </c>
      <c r="Y350">
        <f t="shared" si="66"/>
        <v>0</v>
      </c>
      <c r="Z350">
        <f t="shared" si="67"/>
        <v>0</v>
      </c>
      <c r="AA350" t="str">
        <f>INDEX('Priority activities'!$D$5:$D$86,MATCH('Database for analysis'!C350,'Priority activities'!$C$5:$C$86,0))</f>
        <v>Staff and training</v>
      </c>
    </row>
    <row r="351" spans="2:27" ht="16.5" thickTop="1" thickBot="1" x14ac:dyDescent="0.3">
      <c r="B351" t="s">
        <v>195</v>
      </c>
      <c r="C351" s="22" t="str">
        <f>'Costing inputs'!$C$177</f>
        <v>In-service training - LARC training (SDA4.1)</v>
      </c>
      <c r="D351" s="22" t="str">
        <f>'Costing inputs'!$U$177</f>
        <v>Districts</v>
      </c>
      <c r="E351" s="22">
        <f>'Regional splits'!$O$14</f>
        <v>0</v>
      </c>
      <c r="F351">
        <v>0</v>
      </c>
      <c r="G351">
        <v>0</v>
      </c>
      <c r="H351">
        <v>0</v>
      </c>
      <c r="I351">
        <v>0</v>
      </c>
      <c r="J351">
        <v>0</v>
      </c>
      <c r="K351">
        <v>0</v>
      </c>
      <c r="L351">
        <v>0</v>
      </c>
      <c r="M351">
        <v>0</v>
      </c>
      <c r="N351">
        <v>0</v>
      </c>
      <c r="O351">
        <v>0</v>
      </c>
      <c r="P351" s="5">
        <f t="shared" si="57"/>
        <v>0</v>
      </c>
      <c r="Q351">
        <f t="shared" si="58"/>
        <v>0</v>
      </c>
      <c r="R351">
        <f t="shared" si="59"/>
        <v>0</v>
      </c>
      <c r="S351">
        <f t="shared" si="60"/>
        <v>0</v>
      </c>
      <c r="T351">
        <f t="shared" si="61"/>
        <v>0</v>
      </c>
      <c r="U351">
        <f t="shared" si="62"/>
        <v>0</v>
      </c>
      <c r="V351">
        <f t="shared" si="63"/>
        <v>0</v>
      </c>
      <c r="W351">
        <f t="shared" si="64"/>
        <v>0</v>
      </c>
      <c r="X351">
        <f t="shared" si="65"/>
        <v>0</v>
      </c>
      <c r="Y351">
        <f t="shared" si="66"/>
        <v>0</v>
      </c>
      <c r="Z351">
        <f t="shared" si="67"/>
        <v>0</v>
      </c>
      <c r="AA351" t="str">
        <f>INDEX('Priority activities'!$D$5:$D$86,MATCH('Database for analysis'!C351,'Priority activities'!$C$5:$C$86,0))</f>
        <v>Staff and training</v>
      </c>
    </row>
    <row r="352" spans="2:27" ht="16.5" thickTop="1" thickBot="1" x14ac:dyDescent="0.3">
      <c r="B352" t="s">
        <v>195</v>
      </c>
      <c r="C352" s="22" t="str">
        <f>'Costing inputs'!$C$177</f>
        <v>In-service training - LARC training (SDA4.1)</v>
      </c>
      <c r="D352" s="22" t="str">
        <f>'Costing inputs'!$U$177</f>
        <v>Districts</v>
      </c>
      <c r="E352" s="22">
        <f>'Regional splits'!$P$14</f>
        <v>0</v>
      </c>
      <c r="F352">
        <v>0</v>
      </c>
      <c r="G352">
        <v>0</v>
      </c>
      <c r="H352">
        <v>0</v>
      </c>
      <c r="I352">
        <v>0</v>
      </c>
      <c r="J352">
        <v>0</v>
      </c>
      <c r="K352">
        <v>0</v>
      </c>
      <c r="L352">
        <v>0</v>
      </c>
      <c r="M352">
        <v>0</v>
      </c>
      <c r="N352">
        <v>0</v>
      </c>
      <c r="O352">
        <v>0</v>
      </c>
      <c r="P352" s="5">
        <f t="shared" si="57"/>
        <v>0</v>
      </c>
      <c r="Q352">
        <f t="shared" si="58"/>
        <v>0</v>
      </c>
      <c r="R352">
        <f t="shared" si="59"/>
        <v>0</v>
      </c>
      <c r="S352">
        <f t="shared" si="60"/>
        <v>0</v>
      </c>
      <c r="T352">
        <f t="shared" si="61"/>
        <v>0</v>
      </c>
      <c r="U352">
        <f t="shared" si="62"/>
        <v>0</v>
      </c>
      <c r="V352">
        <f t="shared" si="63"/>
        <v>0</v>
      </c>
      <c r="W352">
        <f t="shared" si="64"/>
        <v>0</v>
      </c>
      <c r="X352">
        <f t="shared" si="65"/>
        <v>0</v>
      </c>
      <c r="Y352">
        <f t="shared" si="66"/>
        <v>0</v>
      </c>
      <c r="Z352">
        <f t="shared" si="67"/>
        <v>0</v>
      </c>
      <c r="AA352" t="str">
        <f>INDEX('Priority activities'!$D$5:$D$86,MATCH('Database for analysis'!C352,'Priority activities'!$C$5:$C$86,0))</f>
        <v>Staff and training</v>
      </c>
    </row>
    <row r="353" spans="2:27" ht="16.5" thickTop="1" thickBot="1" x14ac:dyDescent="0.3">
      <c r="B353" t="s">
        <v>195</v>
      </c>
      <c r="C353" s="22" t="str">
        <f>'Costing inputs'!$C$177</f>
        <v>In-service training - LARC training (SDA4.1)</v>
      </c>
      <c r="D353" s="22" t="str">
        <f>'Costing inputs'!$U$177</f>
        <v>Districts</v>
      </c>
      <c r="E353" s="22">
        <f>'Regional splits'!$Q$14</f>
        <v>0</v>
      </c>
      <c r="F353">
        <v>0</v>
      </c>
      <c r="G353">
        <v>0</v>
      </c>
      <c r="H353">
        <v>0</v>
      </c>
      <c r="I353">
        <v>0</v>
      </c>
      <c r="J353">
        <v>0</v>
      </c>
      <c r="K353">
        <v>0</v>
      </c>
      <c r="L353">
        <v>0</v>
      </c>
      <c r="M353">
        <v>0</v>
      </c>
      <c r="N353">
        <v>0</v>
      </c>
      <c r="O353">
        <v>0</v>
      </c>
      <c r="P353" s="5">
        <f t="shared" si="57"/>
        <v>0</v>
      </c>
      <c r="Q353">
        <f t="shared" si="58"/>
        <v>0</v>
      </c>
      <c r="R353">
        <f t="shared" si="59"/>
        <v>0</v>
      </c>
      <c r="S353">
        <f t="shared" si="60"/>
        <v>0</v>
      </c>
      <c r="T353">
        <f t="shared" si="61"/>
        <v>0</v>
      </c>
      <c r="U353">
        <f t="shared" si="62"/>
        <v>0</v>
      </c>
      <c r="V353">
        <f t="shared" si="63"/>
        <v>0</v>
      </c>
      <c r="W353">
        <f t="shared" si="64"/>
        <v>0</v>
      </c>
      <c r="X353">
        <f t="shared" si="65"/>
        <v>0</v>
      </c>
      <c r="Y353">
        <f t="shared" si="66"/>
        <v>0</v>
      </c>
      <c r="Z353">
        <f t="shared" si="67"/>
        <v>0</v>
      </c>
      <c r="AA353" t="str">
        <f>INDEX('Priority activities'!$D$5:$D$86,MATCH('Database for analysis'!C353,'Priority activities'!$C$5:$C$86,0))</f>
        <v>Staff and training</v>
      </c>
    </row>
    <row r="354" spans="2:27" ht="16.5" thickTop="1" thickBot="1" x14ac:dyDescent="0.3">
      <c r="B354" t="s">
        <v>195</v>
      </c>
      <c r="C354" s="22" t="str">
        <f>'Costing inputs'!$C$177</f>
        <v>In-service training - LARC training (SDA4.1)</v>
      </c>
      <c r="D354" s="22" t="str">
        <f>'Costing inputs'!$U$177</f>
        <v>Districts</v>
      </c>
      <c r="E354" s="22" t="str">
        <f>'Regional splits'!$R$14</f>
        <v>National-level</v>
      </c>
      <c r="F354">
        <v>0</v>
      </c>
      <c r="G354">
        <v>0</v>
      </c>
      <c r="H354">
        <v>0</v>
      </c>
      <c r="I354">
        <v>0</v>
      </c>
      <c r="J354">
        <v>0</v>
      </c>
      <c r="K354">
        <v>0</v>
      </c>
      <c r="L354">
        <v>0</v>
      </c>
      <c r="M354">
        <v>0</v>
      </c>
      <c r="N354">
        <v>0</v>
      </c>
      <c r="O354">
        <v>0</v>
      </c>
      <c r="P354" s="5">
        <f t="shared" si="57"/>
        <v>0</v>
      </c>
      <c r="Q354">
        <f t="shared" si="58"/>
        <v>0</v>
      </c>
      <c r="R354">
        <f t="shared" si="59"/>
        <v>0</v>
      </c>
      <c r="S354">
        <f t="shared" si="60"/>
        <v>0</v>
      </c>
      <c r="T354">
        <f t="shared" si="61"/>
        <v>0</v>
      </c>
      <c r="U354">
        <f t="shared" si="62"/>
        <v>0</v>
      </c>
      <c r="V354">
        <f t="shared" si="63"/>
        <v>0</v>
      </c>
      <c r="W354">
        <f t="shared" si="64"/>
        <v>0</v>
      </c>
      <c r="X354">
        <f t="shared" si="65"/>
        <v>0</v>
      </c>
      <c r="Y354">
        <f t="shared" si="66"/>
        <v>0</v>
      </c>
      <c r="Z354">
        <f t="shared" si="67"/>
        <v>0</v>
      </c>
      <c r="AA354" t="str">
        <f>INDEX('Priority activities'!$D$5:$D$86,MATCH('Database for analysis'!C354,'Priority activities'!$C$5:$C$86,0))</f>
        <v>Staff and training</v>
      </c>
    </row>
    <row r="355" spans="2:27" ht="16.5" thickTop="1" thickBot="1" x14ac:dyDescent="0.3">
      <c r="B355" t="s">
        <v>727</v>
      </c>
      <c r="C355" s="22" t="str">
        <f>'Costing inputs'!$C$412</f>
        <v>Training in FP supervision (SMC3.1)</v>
      </c>
      <c r="D355" s="22" t="str">
        <f>'Costing inputs'!$U$412</f>
        <v>Evenly by province/region</v>
      </c>
      <c r="E355" s="22" t="str">
        <f>'Regional splits'!$C$14</f>
        <v>Central</v>
      </c>
      <c r="F355">
        <f t="array" ref="F355:O370">'Costing inputs'!S412*'Costing inputs'!AP412:AY412*TRANSPOSE('Costing inputs'!W412:AL412)</f>
        <v>0</v>
      </c>
      <c r="G355">
        <v>93403.299200000009</v>
      </c>
      <c r="H355">
        <v>93403.299200000009</v>
      </c>
      <c r="I355">
        <v>93403.299200000009</v>
      </c>
      <c r="J355">
        <v>0</v>
      </c>
      <c r="K355">
        <v>0</v>
      </c>
      <c r="L355">
        <v>0</v>
      </c>
      <c r="M355">
        <v>0</v>
      </c>
      <c r="N355">
        <v>0</v>
      </c>
      <c r="O355">
        <v>0</v>
      </c>
      <c r="P355" s="5">
        <f t="shared" si="57"/>
        <v>280209.89760000003</v>
      </c>
      <c r="Q355">
        <f t="shared" si="58"/>
        <v>0</v>
      </c>
      <c r="R355">
        <f t="shared" si="59"/>
        <v>93403.299200000009</v>
      </c>
      <c r="S355">
        <f t="shared" si="60"/>
        <v>93403.299200000009</v>
      </c>
      <c r="T355">
        <f t="shared" si="61"/>
        <v>93403.299200000009</v>
      </c>
      <c r="U355">
        <f t="shared" si="62"/>
        <v>0</v>
      </c>
      <c r="V355">
        <f t="shared" si="63"/>
        <v>0</v>
      </c>
      <c r="W355">
        <f t="shared" si="64"/>
        <v>0</v>
      </c>
      <c r="X355">
        <f t="shared" si="65"/>
        <v>0</v>
      </c>
      <c r="Y355">
        <f t="shared" si="66"/>
        <v>0</v>
      </c>
      <c r="Z355">
        <f t="shared" si="67"/>
        <v>0</v>
      </c>
      <c r="AA355" t="str">
        <f>INDEX('Priority activities'!$D$5:$D$86,MATCH('Database for analysis'!C355,'Priority activities'!$C$5:$C$86,0))</f>
        <v>n/a</v>
      </c>
    </row>
    <row r="356" spans="2:27" ht="16.5" thickTop="1" thickBot="1" x14ac:dyDescent="0.3">
      <c r="B356" t="s">
        <v>727</v>
      </c>
      <c r="C356" s="22" t="str">
        <f>'Costing inputs'!$C$412</f>
        <v>Training in FP supervision (SMC3.1)</v>
      </c>
      <c r="D356" s="22" t="str">
        <f>'Costing inputs'!$U$412</f>
        <v>Evenly by province/region</v>
      </c>
      <c r="E356" s="22" t="str">
        <f>'Regional splits'!$D$14</f>
        <v>Copperbelt</v>
      </c>
      <c r="F356">
        <v>0</v>
      </c>
      <c r="G356">
        <v>93403.299200000009</v>
      </c>
      <c r="H356">
        <v>93403.299200000009</v>
      </c>
      <c r="I356">
        <v>93403.299200000009</v>
      </c>
      <c r="J356">
        <v>0</v>
      </c>
      <c r="K356">
        <v>0</v>
      </c>
      <c r="L356">
        <v>0</v>
      </c>
      <c r="M356">
        <v>0</v>
      </c>
      <c r="N356">
        <v>0</v>
      </c>
      <c r="O356">
        <v>0</v>
      </c>
      <c r="P356" s="5">
        <f t="shared" si="57"/>
        <v>280209.89760000003</v>
      </c>
      <c r="Q356">
        <f t="shared" si="58"/>
        <v>0</v>
      </c>
      <c r="R356">
        <f t="shared" si="59"/>
        <v>93403.299200000009</v>
      </c>
      <c r="S356">
        <f t="shared" si="60"/>
        <v>93403.299200000009</v>
      </c>
      <c r="T356">
        <f t="shared" si="61"/>
        <v>93403.299200000009</v>
      </c>
      <c r="U356">
        <f t="shared" si="62"/>
        <v>0</v>
      </c>
      <c r="V356">
        <f t="shared" si="63"/>
        <v>0</v>
      </c>
      <c r="W356">
        <f t="shared" si="64"/>
        <v>0</v>
      </c>
      <c r="X356">
        <f t="shared" si="65"/>
        <v>0</v>
      </c>
      <c r="Y356">
        <f t="shared" si="66"/>
        <v>0</v>
      </c>
      <c r="Z356">
        <f t="shared" si="67"/>
        <v>0</v>
      </c>
      <c r="AA356" t="str">
        <f>INDEX('Priority activities'!$D$5:$D$86,MATCH('Database for analysis'!C356,'Priority activities'!$C$5:$C$86,0))</f>
        <v>n/a</v>
      </c>
    </row>
    <row r="357" spans="2:27" ht="16.5" thickTop="1" thickBot="1" x14ac:dyDescent="0.3">
      <c r="B357" t="s">
        <v>727</v>
      </c>
      <c r="C357" s="22" t="str">
        <f>'Costing inputs'!$C$412</f>
        <v>Training in FP supervision (SMC3.1)</v>
      </c>
      <c r="D357" s="22" t="str">
        <f>'Costing inputs'!$U$412</f>
        <v>Evenly by province/region</v>
      </c>
      <c r="E357" s="22" t="str">
        <f>'Regional splits'!$E$14</f>
        <v>Eastern</v>
      </c>
      <c r="F357">
        <v>0</v>
      </c>
      <c r="G357">
        <v>93403.299200000009</v>
      </c>
      <c r="H357">
        <v>93403.299200000009</v>
      </c>
      <c r="I357">
        <v>93403.299200000009</v>
      </c>
      <c r="J357">
        <v>0</v>
      </c>
      <c r="K357">
        <v>0</v>
      </c>
      <c r="L357">
        <v>0</v>
      </c>
      <c r="M357">
        <v>0</v>
      </c>
      <c r="N357">
        <v>0</v>
      </c>
      <c r="O357">
        <v>0</v>
      </c>
      <c r="P357" s="5">
        <f t="shared" si="57"/>
        <v>280209.89760000003</v>
      </c>
      <c r="Q357">
        <f t="shared" si="58"/>
        <v>0</v>
      </c>
      <c r="R357">
        <f t="shared" si="59"/>
        <v>93403.299200000009</v>
      </c>
      <c r="S357">
        <f t="shared" si="60"/>
        <v>93403.299200000009</v>
      </c>
      <c r="T357">
        <f t="shared" si="61"/>
        <v>93403.299200000009</v>
      </c>
      <c r="U357">
        <f t="shared" si="62"/>
        <v>0</v>
      </c>
      <c r="V357">
        <f t="shared" si="63"/>
        <v>0</v>
      </c>
      <c r="W357">
        <f t="shared" si="64"/>
        <v>0</v>
      </c>
      <c r="X357">
        <f t="shared" si="65"/>
        <v>0</v>
      </c>
      <c r="Y357">
        <f t="shared" si="66"/>
        <v>0</v>
      </c>
      <c r="Z357">
        <f t="shared" si="67"/>
        <v>0</v>
      </c>
      <c r="AA357" t="str">
        <f>INDEX('Priority activities'!$D$5:$D$86,MATCH('Database for analysis'!C357,'Priority activities'!$C$5:$C$86,0))</f>
        <v>n/a</v>
      </c>
    </row>
    <row r="358" spans="2:27" ht="16.5" thickTop="1" thickBot="1" x14ac:dyDescent="0.3">
      <c r="B358" t="s">
        <v>727</v>
      </c>
      <c r="C358" s="22" t="str">
        <f>'Costing inputs'!$C$412</f>
        <v>Training in FP supervision (SMC3.1)</v>
      </c>
      <c r="D358" s="22" t="str">
        <f>'Costing inputs'!$U$412</f>
        <v>Evenly by province/region</v>
      </c>
      <c r="E358" s="22" t="str">
        <f>'Regional splits'!$F$14</f>
        <v>Luapula</v>
      </c>
      <c r="F358">
        <v>0</v>
      </c>
      <c r="G358">
        <v>93403.299200000009</v>
      </c>
      <c r="H358">
        <v>93403.299200000009</v>
      </c>
      <c r="I358">
        <v>93403.299200000009</v>
      </c>
      <c r="J358">
        <v>0</v>
      </c>
      <c r="K358">
        <v>0</v>
      </c>
      <c r="L358">
        <v>0</v>
      </c>
      <c r="M358">
        <v>0</v>
      </c>
      <c r="N358">
        <v>0</v>
      </c>
      <c r="O358">
        <v>0</v>
      </c>
      <c r="P358" s="5">
        <f t="shared" si="57"/>
        <v>280209.89760000003</v>
      </c>
      <c r="Q358">
        <f t="shared" si="58"/>
        <v>0</v>
      </c>
      <c r="R358">
        <f t="shared" si="59"/>
        <v>93403.299200000009</v>
      </c>
      <c r="S358">
        <f t="shared" si="60"/>
        <v>93403.299200000009</v>
      </c>
      <c r="T358">
        <f t="shared" si="61"/>
        <v>93403.299200000009</v>
      </c>
      <c r="U358">
        <f t="shared" si="62"/>
        <v>0</v>
      </c>
      <c r="V358">
        <f t="shared" si="63"/>
        <v>0</v>
      </c>
      <c r="W358">
        <f t="shared" si="64"/>
        <v>0</v>
      </c>
      <c r="X358">
        <f t="shared" si="65"/>
        <v>0</v>
      </c>
      <c r="Y358">
        <f t="shared" si="66"/>
        <v>0</v>
      </c>
      <c r="Z358">
        <f t="shared" si="67"/>
        <v>0</v>
      </c>
      <c r="AA358" t="str">
        <f>INDEX('Priority activities'!$D$5:$D$86,MATCH('Database for analysis'!C358,'Priority activities'!$C$5:$C$86,0))</f>
        <v>n/a</v>
      </c>
    </row>
    <row r="359" spans="2:27" ht="16.5" thickTop="1" thickBot="1" x14ac:dyDescent="0.3">
      <c r="B359" t="s">
        <v>727</v>
      </c>
      <c r="C359" s="22" t="str">
        <f>'Costing inputs'!$C$412</f>
        <v>Training in FP supervision (SMC3.1)</v>
      </c>
      <c r="D359" s="22" t="str">
        <f>'Costing inputs'!$U$412</f>
        <v>Evenly by province/region</v>
      </c>
      <c r="E359" s="22" t="str">
        <f>'Regional splits'!$G$14</f>
        <v>Lusaka</v>
      </c>
      <c r="F359">
        <v>0</v>
      </c>
      <c r="G359">
        <v>93403.299200000009</v>
      </c>
      <c r="H359">
        <v>93403.299200000009</v>
      </c>
      <c r="I359">
        <v>93403.299200000009</v>
      </c>
      <c r="J359">
        <v>0</v>
      </c>
      <c r="K359">
        <v>0</v>
      </c>
      <c r="L359">
        <v>0</v>
      </c>
      <c r="M359">
        <v>0</v>
      </c>
      <c r="N359">
        <v>0</v>
      </c>
      <c r="O359">
        <v>0</v>
      </c>
      <c r="P359" s="5">
        <f t="shared" si="57"/>
        <v>280209.89760000003</v>
      </c>
      <c r="Q359">
        <f t="shared" si="58"/>
        <v>0</v>
      </c>
      <c r="R359">
        <f t="shared" si="59"/>
        <v>93403.299200000009</v>
      </c>
      <c r="S359">
        <f t="shared" si="60"/>
        <v>93403.299200000009</v>
      </c>
      <c r="T359">
        <f t="shared" si="61"/>
        <v>93403.299200000009</v>
      </c>
      <c r="U359">
        <f t="shared" si="62"/>
        <v>0</v>
      </c>
      <c r="V359">
        <f t="shared" si="63"/>
        <v>0</v>
      </c>
      <c r="W359">
        <f t="shared" si="64"/>
        <v>0</v>
      </c>
      <c r="X359">
        <f t="shared" si="65"/>
        <v>0</v>
      </c>
      <c r="Y359">
        <f t="shared" si="66"/>
        <v>0</v>
      </c>
      <c r="Z359">
        <f t="shared" si="67"/>
        <v>0</v>
      </c>
      <c r="AA359" t="str">
        <f>INDEX('Priority activities'!$D$5:$D$86,MATCH('Database for analysis'!C359,'Priority activities'!$C$5:$C$86,0))</f>
        <v>n/a</v>
      </c>
    </row>
    <row r="360" spans="2:27" ht="16.5" thickTop="1" thickBot="1" x14ac:dyDescent="0.3">
      <c r="B360" t="s">
        <v>727</v>
      </c>
      <c r="C360" s="22" t="str">
        <f>'Costing inputs'!$C$412</f>
        <v>Training in FP supervision (SMC3.1)</v>
      </c>
      <c r="D360" s="22" t="str">
        <f>'Costing inputs'!$U$412</f>
        <v>Evenly by province/region</v>
      </c>
      <c r="E360" s="22" t="str">
        <f>'Regional splits'!$H$14</f>
        <v>Muchinga</v>
      </c>
      <c r="F360">
        <v>0</v>
      </c>
      <c r="G360">
        <v>93403.299200000009</v>
      </c>
      <c r="H360">
        <v>93403.299200000009</v>
      </c>
      <c r="I360">
        <v>93403.299200000009</v>
      </c>
      <c r="J360">
        <v>0</v>
      </c>
      <c r="K360">
        <v>0</v>
      </c>
      <c r="L360">
        <v>0</v>
      </c>
      <c r="M360">
        <v>0</v>
      </c>
      <c r="N360">
        <v>0</v>
      </c>
      <c r="O360">
        <v>0</v>
      </c>
      <c r="P360" s="5">
        <f t="shared" si="57"/>
        <v>280209.89760000003</v>
      </c>
      <c r="Q360">
        <f t="shared" si="58"/>
        <v>0</v>
      </c>
      <c r="R360">
        <f t="shared" si="59"/>
        <v>93403.299200000009</v>
      </c>
      <c r="S360">
        <f t="shared" si="60"/>
        <v>93403.299200000009</v>
      </c>
      <c r="T360">
        <f t="shared" si="61"/>
        <v>93403.299200000009</v>
      </c>
      <c r="U360">
        <f t="shared" si="62"/>
        <v>0</v>
      </c>
      <c r="V360">
        <f t="shared" si="63"/>
        <v>0</v>
      </c>
      <c r="W360">
        <f t="shared" si="64"/>
        <v>0</v>
      </c>
      <c r="X360">
        <f t="shared" si="65"/>
        <v>0</v>
      </c>
      <c r="Y360">
        <f t="shared" si="66"/>
        <v>0</v>
      </c>
      <c r="Z360">
        <f t="shared" si="67"/>
        <v>0</v>
      </c>
      <c r="AA360" t="str">
        <f>INDEX('Priority activities'!$D$5:$D$86,MATCH('Database for analysis'!C360,'Priority activities'!$C$5:$C$86,0))</f>
        <v>n/a</v>
      </c>
    </row>
    <row r="361" spans="2:27" ht="16.5" thickTop="1" thickBot="1" x14ac:dyDescent="0.3">
      <c r="B361" t="s">
        <v>727</v>
      </c>
      <c r="C361" s="22" t="str">
        <f>'Costing inputs'!$C$412</f>
        <v>Training in FP supervision (SMC3.1)</v>
      </c>
      <c r="D361" s="22" t="str">
        <f>'Costing inputs'!$U$412</f>
        <v>Evenly by province/region</v>
      </c>
      <c r="E361" s="22" t="str">
        <f>'Regional splits'!$I$14</f>
        <v>Northern</v>
      </c>
      <c r="F361">
        <v>0</v>
      </c>
      <c r="G361">
        <v>93403.299200000009</v>
      </c>
      <c r="H361">
        <v>93403.299200000009</v>
      </c>
      <c r="I361">
        <v>93403.299200000009</v>
      </c>
      <c r="J361">
        <v>0</v>
      </c>
      <c r="K361">
        <v>0</v>
      </c>
      <c r="L361">
        <v>0</v>
      </c>
      <c r="M361">
        <v>0</v>
      </c>
      <c r="N361">
        <v>0</v>
      </c>
      <c r="O361">
        <v>0</v>
      </c>
      <c r="P361" s="5">
        <f t="shared" si="57"/>
        <v>280209.89760000003</v>
      </c>
      <c r="Q361">
        <f t="shared" si="58"/>
        <v>0</v>
      </c>
      <c r="R361">
        <f t="shared" si="59"/>
        <v>93403.299200000009</v>
      </c>
      <c r="S361">
        <f t="shared" si="60"/>
        <v>93403.299200000009</v>
      </c>
      <c r="T361">
        <f t="shared" si="61"/>
        <v>93403.299200000009</v>
      </c>
      <c r="U361">
        <f t="shared" si="62"/>
        <v>0</v>
      </c>
      <c r="V361">
        <f t="shared" si="63"/>
        <v>0</v>
      </c>
      <c r="W361">
        <f t="shared" si="64"/>
        <v>0</v>
      </c>
      <c r="X361">
        <f t="shared" si="65"/>
        <v>0</v>
      </c>
      <c r="Y361">
        <f t="shared" si="66"/>
        <v>0</v>
      </c>
      <c r="Z361">
        <f t="shared" si="67"/>
        <v>0</v>
      </c>
      <c r="AA361" t="str">
        <f>INDEX('Priority activities'!$D$5:$D$86,MATCH('Database for analysis'!C361,'Priority activities'!$C$5:$C$86,0))</f>
        <v>n/a</v>
      </c>
    </row>
    <row r="362" spans="2:27" ht="16.5" thickTop="1" thickBot="1" x14ac:dyDescent="0.3">
      <c r="B362" t="s">
        <v>727</v>
      </c>
      <c r="C362" s="22" t="str">
        <f>'Costing inputs'!$C$412</f>
        <v>Training in FP supervision (SMC3.1)</v>
      </c>
      <c r="D362" s="22" t="str">
        <f>'Costing inputs'!$U$412</f>
        <v>Evenly by province/region</v>
      </c>
      <c r="E362" s="22" t="str">
        <f>'Regional splits'!$J$14</f>
        <v>North Western</v>
      </c>
      <c r="F362">
        <v>0</v>
      </c>
      <c r="G362">
        <v>93403.299200000009</v>
      </c>
      <c r="H362">
        <v>93403.299200000009</v>
      </c>
      <c r="I362">
        <v>93403.299200000009</v>
      </c>
      <c r="J362">
        <v>0</v>
      </c>
      <c r="K362">
        <v>0</v>
      </c>
      <c r="L362">
        <v>0</v>
      </c>
      <c r="M362">
        <v>0</v>
      </c>
      <c r="N362">
        <v>0</v>
      </c>
      <c r="O362">
        <v>0</v>
      </c>
      <c r="P362" s="5">
        <f t="shared" si="57"/>
        <v>280209.89760000003</v>
      </c>
      <c r="Q362">
        <f t="shared" si="58"/>
        <v>0</v>
      </c>
      <c r="R362">
        <f t="shared" si="59"/>
        <v>93403.299200000009</v>
      </c>
      <c r="S362">
        <f t="shared" si="60"/>
        <v>93403.299200000009</v>
      </c>
      <c r="T362">
        <f t="shared" si="61"/>
        <v>93403.299200000009</v>
      </c>
      <c r="U362">
        <f t="shared" si="62"/>
        <v>0</v>
      </c>
      <c r="V362">
        <f t="shared" si="63"/>
        <v>0</v>
      </c>
      <c r="W362">
        <f t="shared" si="64"/>
        <v>0</v>
      </c>
      <c r="X362">
        <f t="shared" si="65"/>
        <v>0</v>
      </c>
      <c r="Y362">
        <f t="shared" si="66"/>
        <v>0</v>
      </c>
      <c r="Z362">
        <f t="shared" si="67"/>
        <v>0</v>
      </c>
      <c r="AA362" t="str">
        <f>INDEX('Priority activities'!$D$5:$D$86,MATCH('Database for analysis'!C362,'Priority activities'!$C$5:$C$86,0))</f>
        <v>n/a</v>
      </c>
    </row>
    <row r="363" spans="2:27" ht="16.5" thickTop="1" thickBot="1" x14ac:dyDescent="0.3">
      <c r="B363" t="s">
        <v>727</v>
      </c>
      <c r="C363" s="22" t="str">
        <f>'Costing inputs'!$C$412</f>
        <v>Training in FP supervision (SMC3.1)</v>
      </c>
      <c r="D363" s="22" t="str">
        <f>'Costing inputs'!$U$412</f>
        <v>Evenly by province/region</v>
      </c>
      <c r="E363" s="22" t="str">
        <f>'Regional splits'!$K$14</f>
        <v>Southern</v>
      </c>
      <c r="F363">
        <v>0</v>
      </c>
      <c r="G363">
        <v>93403.299200000009</v>
      </c>
      <c r="H363">
        <v>93403.299200000009</v>
      </c>
      <c r="I363">
        <v>93403.299200000009</v>
      </c>
      <c r="J363">
        <v>0</v>
      </c>
      <c r="K363">
        <v>0</v>
      </c>
      <c r="L363">
        <v>0</v>
      </c>
      <c r="M363">
        <v>0</v>
      </c>
      <c r="N363">
        <v>0</v>
      </c>
      <c r="O363">
        <v>0</v>
      </c>
      <c r="P363" s="5">
        <f t="shared" si="57"/>
        <v>280209.89760000003</v>
      </c>
      <c r="Q363">
        <f t="shared" si="58"/>
        <v>0</v>
      </c>
      <c r="R363">
        <f t="shared" si="59"/>
        <v>93403.299200000009</v>
      </c>
      <c r="S363">
        <f t="shared" si="60"/>
        <v>93403.299200000009</v>
      </c>
      <c r="T363">
        <f t="shared" si="61"/>
        <v>93403.299200000009</v>
      </c>
      <c r="U363">
        <f t="shared" si="62"/>
        <v>0</v>
      </c>
      <c r="V363">
        <f t="shared" si="63"/>
        <v>0</v>
      </c>
      <c r="W363">
        <f t="shared" si="64"/>
        <v>0</v>
      </c>
      <c r="X363">
        <f t="shared" si="65"/>
        <v>0</v>
      </c>
      <c r="Y363">
        <f t="shared" si="66"/>
        <v>0</v>
      </c>
      <c r="Z363">
        <f t="shared" si="67"/>
        <v>0</v>
      </c>
      <c r="AA363" t="str">
        <f>INDEX('Priority activities'!$D$5:$D$86,MATCH('Database for analysis'!C363,'Priority activities'!$C$5:$C$86,0))</f>
        <v>n/a</v>
      </c>
    </row>
    <row r="364" spans="2:27" ht="16.5" thickTop="1" thickBot="1" x14ac:dyDescent="0.3">
      <c r="B364" t="s">
        <v>727</v>
      </c>
      <c r="C364" s="22" t="str">
        <f>'Costing inputs'!$C$412</f>
        <v>Training in FP supervision (SMC3.1)</v>
      </c>
      <c r="D364" s="22" t="str">
        <f>'Costing inputs'!$U$412</f>
        <v>Evenly by province/region</v>
      </c>
      <c r="E364" s="22" t="str">
        <f>'Regional splits'!$L$14</f>
        <v>Western</v>
      </c>
      <c r="F364">
        <v>0</v>
      </c>
      <c r="G364">
        <v>93403.299200000009</v>
      </c>
      <c r="H364">
        <v>93403.299200000009</v>
      </c>
      <c r="I364">
        <v>93403.299200000009</v>
      </c>
      <c r="J364">
        <v>0</v>
      </c>
      <c r="K364">
        <v>0</v>
      </c>
      <c r="L364">
        <v>0</v>
      </c>
      <c r="M364">
        <v>0</v>
      </c>
      <c r="N364">
        <v>0</v>
      </c>
      <c r="O364">
        <v>0</v>
      </c>
      <c r="P364" s="5">
        <f t="shared" si="57"/>
        <v>280209.89760000003</v>
      </c>
      <c r="Q364">
        <f t="shared" si="58"/>
        <v>0</v>
      </c>
      <c r="R364">
        <f t="shared" si="59"/>
        <v>93403.299200000009</v>
      </c>
      <c r="S364">
        <f t="shared" si="60"/>
        <v>93403.299200000009</v>
      </c>
      <c r="T364">
        <f t="shared" si="61"/>
        <v>93403.299200000009</v>
      </c>
      <c r="U364">
        <f t="shared" si="62"/>
        <v>0</v>
      </c>
      <c r="V364">
        <f t="shared" si="63"/>
        <v>0</v>
      </c>
      <c r="W364">
        <f t="shared" si="64"/>
        <v>0</v>
      </c>
      <c r="X364">
        <f t="shared" si="65"/>
        <v>0</v>
      </c>
      <c r="Y364">
        <f t="shared" si="66"/>
        <v>0</v>
      </c>
      <c r="Z364">
        <f t="shared" si="67"/>
        <v>0</v>
      </c>
      <c r="AA364" t="str">
        <f>INDEX('Priority activities'!$D$5:$D$86,MATCH('Database for analysis'!C364,'Priority activities'!$C$5:$C$86,0))</f>
        <v>n/a</v>
      </c>
    </row>
    <row r="365" spans="2:27" ht="16.5" thickTop="1" thickBot="1" x14ac:dyDescent="0.3">
      <c r="B365" t="s">
        <v>727</v>
      </c>
      <c r="C365" s="22" t="str">
        <f>'Costing inputs'!$C$412</f>
        <v>Training in FP supervision (SMC3.1)</v>
      </c>
      <c r="D365" s="22" t="str">
        <f>'Costing inputs'!$U$412</f>
        <v>Evenly by province/region</v>
      </c>
      <c r="E365" s="22">
        <f>'Regional splits'!$M$14</f>
        <v>0</v>
      </c>
      <c r="F365">
        <v>0</v>
      </c>
      <c r="G365">
        <v>0</v>
      </c>
      <c r="H365">
        <v>0</v>
      </c>
      <c r="I365">
        <v>0</v>
      </c>
      <c r="J365">
        <v>0</v>
      </c>
      <c r="K365">
        <v>0</v>
      </c>
      <c r="L365">
        <v>0</v>
      </c>
      <c r="M365">
        <v>0</v>
      </c>
      <c r="N365">
        <v>0</v>
      </c>
      <c r="O365">
        <v>0</v>
      </c>
      <c r="P365" s="5">
        <f t="shared" si="57"/>
        <v>0</v>
      </c>
      <c r="Q365">
        <f t="shared" si="58"/>
        <v>0</v>
      </c>
      <c r="R365">
        <f t="shared" si="59"/>
        <v>0</v>
      </c>
      <c r="S365">
        <f t="shared" si="60"/>
        <v>0</v>
      </c>
      <c r="T365">
        <f t="shared" si="61"/>
        <v>0</v>
      </c>
      <c r="U365">
        <f t="shared" si="62"/>
        <v>0</v>
      </c>
      <c r="V365">
        <f t="shared" si="63"/>
        <v>0</v>
      </c>
      <c r="W365">
        <f t="shared" si="64"/>
        <v>0</v>
      </c>
      <c r="X365">
        <f t="shared" si="65"/>
        <v>0</v>
      </c>
      <c r="Y365">
        <f t="shared" si="66"/>
        <v>0</v>
      </c>
      <c r="Z365">
        <f t="shared" si="67"/>
        <v>0</v>
      </c>
      <c r="AA365" t="str">
        <f>INDEX('Priority activities'!$D$5:$D$86,MATCH('Database for analysis'!C365,'Priority activities'!$C$5:$C$86,0))</f>
        <v>n/a</v>
      </c>
    </row>
    <row r="366" spans="2:27" ht="16.5" thickTop="1" thickBot="1" x14ac:dyDescent="0.3">
      <c r="B366" t="s">
        <v>727</v>
      </c>
      <c r="C366" s="22" t="str">
        <f>'Costing inputs'!$C$412</f>
        <v>Training in FP supervision (SMC3.1)</v>
      </c>
      <c r="D366" s="22" t="str">
        <f>'Costing inputs'!$U$412</f>
        <v>Evenly by province/region</v>
      </c>
      <c r="E366" s="22">
        <f>'Regional splits'!$N$14</f>
        <v>0</v>
      </c>
      <c r="F366">
        <v>0</v>
      </c>
      <c r="G366">
        <v>0</v>
      </c>
      <c r="H366">
        <v>0</v>
      </c>
      <c r="I366">
        <v>0</v>
      </c>
      <c r="J366">
        <v>0</v>
      </c>
      <c r="K366">
        <v>0</v>
      </c>
      <c r="L366">
        <v>0</v>
      </c>
      <c r="M366">
        <v>0</v>
      </c>
      <c r="N366">
        <v>0</v>
      </c>
      <c r="O366">
        <v>0</v>
      </c>
      <c r="P366" s="5">
        <f t="shared" si="57"/>
        <v>0</v>
      </c>
      <c r="Q366">
        <f t="shared" si="58"/>
        <v>0</v>
      </c>
      <c r="R366">
        <f t="shared" si="59"/>
        <v>0</v>
      </c>
      <c r="S366">
        <f t="shared" si="60"/>
        <v>0</v>
      </c>
      <c r="T366">
        <f t="shared" si="61"/>
        <v>0</v>
      </c>
      <c r="U366">
        <f t="shared" si="62"/>
        <v>0</v>
      </c>
      <c r="V366">
        <f t="shared" si="63"/>
        <v>0</v>
      </c>
      <c r="W366">
        <f t="shared" si="64"/>
        <v>0</v>
      </c>
      <c r="X366">
        <f t="shared" si="65"/>
        <v>0</v>
      </c>
      <c r="Y366">
        <f t="shared" si="66"/>
        <v>0</v>
      </c>
      <c r="Z366">
        <f t="shared" si="67"/>
        <v>0</v>
      </c>
      <c r="AA366" t="str">
        <f>INDEX('Priority activities'!$D$5:$D$86,MATCH('Database for analysis'!C366,'Priority activities'!$C$5:$C$86,0))</f>
        <v>n/a</v>
      </c>
    </row>
    <row r="367" spans="2:27" ht="16.5" thickTop="1" thickBot="1" x14ac:dyDescent="0.3">
      <c r="B367" t="s">
        <v>727</v>
      </c>
      <c r="C367" s="22" t="str">
        <f>'Costing inputs'!$C$412</f>
        <v>Training in FP supervision (SMC3.1)</v>
      </c>
      <c r="D367" s="22" t="str">
        <f>'Costing inputs'!$U$412</f>
        <v>Evenly by province/region</v>
      </c>
      <c r="E367" s="22">
        <f>'Regional splits'!$O$14</f>
        <v>0</v>
      </c>
      <c r="F367">
        <v>0</v>
      </c>
      <c r="G367">
        <v>0</v>
      </c>
      <c r="H367">
        <v>0</v>
      </c>
      <c r="I367">
        <v>0</v>
      </c>
      <c r="J367">
        <v>0</v>
      </c>
      <c r="K367">
        <v>0</v>
      </c>
      <c r="L367">
        <v>0</v>
      </c>
      <c r="M367">
        <v>0</v>
      </c>
      <c r="N367">
        <v>0</v>
      </c>
      <c r="O367">
        <v>0</v>
      </c>
      <c r="P367" s="5">
        <f t="shared" si="57"/>
        <v>0</v>
      </c>
      <c r="Q367">
        <f t="shared" si="58"/>
        <v>0</v>
      </c>
      <c r="R367">
        <f t="shared" si="59"/>
        <v>0</v>
      </c>
      <c r="S367">
        <f t="shared" si="60"/>
        <v>0</v>
      </c>
      <c r="T367">
        <f t="shared" si="61"/>
        <v>0</v>
      </c>
      <c r="U367">
        <f t="shared" si="62"/>
        <v>0</v>
      </c>
      <c r="V367">
        <f t="shared" si="63"/>
        <v>0</v>
      </c>
      <c r="W367">
        <f t="shared" si="64"/>
        <v>0</v>
      </c>
      <c r="X367">
        <f t="shared" si="65"/>
        <v>0</v>
      </c>
      <c r="Y367">
        <f t="shared" si="66"/>
        <v>0</v>
      </c>
      <c r="Z367">
        <f t="shared" si="67"/>
        <v>0</v>
      </c>
      <c r="AA367" t="str">
        <f>INDEX('Priority activities'!$D$5:$D$86,MATCH('Database for analysis'!C367,'Priority activities'!$C$5:$C$86,0))</f>
        <v>n/a</v>
      </c>
    </row>
    <row r="368" spans="2:27" ht="16.5" thickTop="1" thickBot="1" x14ac:dyDescent="0.3">
      <c r="B368" t="s">
        <v>727</v>
      </c>
      <c r="C368" s="22" t="str">
        <f>'Costing inputs'!$C$412</f>
        <v>Training in FP supervision (SMC3.1)</v>
      </c>
      <c r="D368" s="22" t="str">
        <f>'Costing inputs'!$U$412</f>
        <v>Evenly by province/region</v>
      </c>
      <c r="E368" s="22">
        <f>'Regional splits'!$P$14</f>
        <v>0</v>
      </c>
      <c r="F368">
        <v>0</v>
      </c>
      <c r="G368">
        <v>0</v>
      </c>
      <c r="H368">
        <v>0</v>
      </c>
      <c r="I368">
        <v>0</v>
      </c>
      <c r="J368">
        <v>0</v>
      </c>
      <c r="K368">
        <v>0</v>
      </c>
      <c r="L368">
        <v>0</v>
      </c>
      <c r="M368">
        <v>0</v>
      </c>
      <c r="N368">
        <v>0</v>
      </c>
      <c r="O368">
        <v>0</v>
      </c>
      <c r="P368" s="5">
        <f t="shared" si="57"/>
        <v>0</v>
      </c>
      <c r="Q368">
        <f t="shared" si="58"/>
        <v>0</v>
      </c>
      <c r="R368">
        <f t="shared" si="59"/>
        <v>0</v>
      </c>
      <c r="S368">
        <f t="shared" si="60"/>
        <v>0</v>
      </c>
      <c r="T368">
        <f t="shared" si="61"/>
        <v>0</v>
      </c>
      <c r="U368">
        <f t="shared" si="62"/>
        <v>0</v>
      </c>
      <c r="V368">
        <f t="shared" si="63"/>
        <v>0</v>
      </c>
      <c r="W368">
        <f t="shared" si="64"/>
        <v>0</v>
      </c>
      <c r="X368">
        <f t="shared" si="65"/>
        <v>0</v>
      </c>
      <c r="Y368">
        <f t="shared" si="66"/>
        <v>0</v>
      </c>
      <c r="Z368">
        <f t="shared" si="67"/>
        <v>0</v>
      </c>
      <c r="AA368" t="str">
        <f>INDEX('Priority activities'!$D$5:$D$86,MATCH('Database for analysis'!C368,'Priority activities'!$C$5:$C$86,0))</f>
        <v>n/a</v>
      </c>
    </row>
    <row r="369" spans="2:27" ht="16.5" thickTop="1" thickBot="1" x14ac:dyDescent="0.3">
      <c r="B369" t="s">
        <v>727</v>
      </c>
      <c r="C369" s="22" t="str">
        <f>'Costing inputs'!$C$412</f>
        <v>Training in FP supervision (SMC3.1)</v>
      </c>
      <c r="D369" s="22" t="str">
        <f>'Costing inputs'!$U$412</f>
        <v>Evenly by province/region</v>
      </c>
      <c r="E369" s="22">
        <f>'Regional splits'!$Q$14</f>
        <v>0</v>
      </c>
      <c r="F369">
        <v>0</v>
      </c>
      <c r="G369">
        <v>0</v>
      </c>
      <c r="H369">
        <v>0</v>
      </c>
      <c r="I369">
        <v>0</v>
      </c>
      <c r="J369">
        <v>0</v>
      </c>
      <c r="K369">
        <v>0</v>
      </c>
      <c r="L369">
        <v>0</v>
      </c>
      <c r="M369">
        <v>0</v>
      </c>
      <c r="N369">
        <v>0</v>
      </c>
      <c r="O369">
        <v>0</v>
      </c>
      <c r="P369" s="5">
        <f t="shared" si="57"/>
        <v>0</v>
      </c>
      <c r="Q369">
        <f t="shared" si="58"/>
        <v>0</v>
      </c>
      <c r="R369">
        <f t="shared" si="59"/>
        <v>0</v>
      </c>
      <c r="S369">
        <f t="shared" si="60"/>
        <v>0</v>
      </c>
      <c r="T369">
        <f t="shared" si="61"/>
        <v>0</v>
      </c>
      <c r="U369">
        <f t="shared" si="62"/>
        <v>0</v>
      </c>
      <c r="V369">
        <f t="shared" si="63"/>
        <v>0</v>
      </c>
      <c r="W369">
        <f t="shared" si="64"/>
        <v>0</v>
      </c>
      <c r="X369">
        <f t="shared" si="65"/>
        <v>0</v>
      </c>
      <c r="Y369">
        <f t="shared" si="66"/>
        <v>0</v>
      </c>
      <c r="Z369">
        <f t="shared" si="67"/>
        <v>0</v>
      </c>
      <c r="AA369" t="str">
        <f>INDEX('Priority activities'!$D$5:$D$86,MATCH('Database for analysis'!C369,'Priority activities'!$C$5:$C$86,0))</f>
        <v>n/a</v>
      </c>
    </row>
    <row r="370" spans="2:27" ht="16.5" thickTop="1" thickBot="1" x14ac:dyDescent="0.3">
      <c r="B370" t="s">
        <v>727</v>
      </c>
      <c r="C370" s="22" t="str">
        <f>'Costing inputs'!$C$412</f>
        <v>Training in FP supervision (SMC3.1)</v>
      </c>
      <c r="D370" s="22" t="str">
        <f>'Costing inputs'!$U$412</f>
        <v>Evenly by province/region</v>
      </c>
      <c r="E370" s="22" t="str">
        <f>'Regional splits'!$R$14</f>
        <v>National-level</v>
      </c>
      <c r="F370">
        <v>0</v>
      </c>
      <c r="G370">
        <v>0</v>
      </c>
      <c r="H370">
        <v>0</v>
      </c>
      <c r="I370">
        <v>0</v>
      </c>
      <c r="J370">
        <v>0</v>
      </c>
      <c r="K370">
        <v>0</v>
      </c>
      <c r="L370">
        <v>0</v>
      </c>
      <c r="M370">
        <v>0</v>
      </c>
      <c r="N370">
        <v>0</v>
      </c>
      <c r="O370">
        <v>0</v>
      </c>
      <c r="P370" s="5">
        <f t="shared" si="57"/>
        <v>0</v>
      </c>
      <c r="Q370">
        <f t="shared" si="58"/>
        <v>0</v>
      </c>
      <c r="R370">
        <f t="shared" si="59"/>
        <v>0</v>
      </c>
      <c r="S370">
        <f t="shared" si="60"/>
        <v>0</v>
      </c>
      <c r="T370">
        <f t="shared" si="61"/>
        <v>0</v>
      </c>
      <c r="U370">
        <f t="shared" si="62"/>
        <v>0</v>
      </c>
      <c r="V370">
        <f t="shared" si="63"/>
        <v>0</v>
      </c>
      <c r="W370">
        <f t="shared" si="64"/>
        <v>0</v>
      </c>
      <c r="X370">
        <f t="shared" si="65"/>
        <v>0</v>
      </c>
      <c r="Y370">
        <f t="shared" si="66"/>
        <v>0</v>
      </c>
      <c r="Z370">
        <f t="shared" si="67"/>
        <v>0</v>
      </c>
      <c r="AA370" t="str">
        <f>INDEX('Priority activities'!$D$5:$D$86,MATCH('Database for analysis'!C370,'Priority activities'!$C$5:$C$86,0))</f>
        <v>n/a</v>
      </c>
    </row>
    <row r="371" spans="2:27" ht="16.5" thickTop="1" thickBot="1" x14ac:dyDescent="0.3">
      <c r="B371" t="s">
        <v>195</v>
      </c>
      <c r="C371" s="22" t="str">
        <f>'Costing inputs'!$C$183</f>
        <v>Training materials - initial investment (SDA3.4 &amp; 5.1)</v>
      </c>
      <c r="D371" s="22" t="str">
        <f>'Costing inputs'!$U$183</f>
        <v>Evenly by province/region</v>
      </c>
      <c r="E371" s="22" t="str">
        <f>'Regional splits'!$C$14</f>
        <v>Central</v>
      </c>
      <c r="F371">
        <f t="array" ref="F371:O386">'Costing inputs'!S183*'Costing inputs'!AP183:AY183*TRANSPOSE('Costing inputs'!W183:AL183)</f>
        <v>0</v>
      </c>
      <c r="G371">
        <v>66765.600000000006</v>
      </c>
      <c r="H371">
        <v>0</v>
      </c>
      <c r="I371">
        <v>0</v>
      </c>
      <c r="J371">
        <v>0</v>
      </c>
      <c r="K371">
        <v>66765.600000000006</v>
      </c>
      <c r="L371">
        <v>0</v>
      </c>
      <c r="M371">
        <v>0</v>
      </c>
      <c r="N371">
        <v>0</v>
      </c>
      <c r="O371">
        <v>0</v>
      </c>
      <c r="P371" s="5">
        <f t="shared" si="57"/>
        <v>133531.20000000001</v>
      </c>
      <c r="Q371">
        <f t="shared" si="58"/>
        <v>0</v>
      </c>
      <c r="R371">
        <f t="shared" si="59"/>
        <v>66765.600000000006</v>
      </c>
      <c r="S371">
        <f t="shared" si="60"/>
        <v>0</v>
      </c>
      <c r="T371">
        <f t="shared" si="61"/>
        <v>0</v>
      </c>
      <c r="U371">
        <f t="shared" si="62"/>
        <v>0</v>
      </c>
      <c r="V371">
        <f t="shared" si="63"/>
        <v>66765.600000000006</v>
      </c>
      <c r="W371">
        <f t="shared" si="64"/>
        <v>0</v>
      </c>
      <c r="X371">
        <f t="shared" si="65"/>
        <v>0</v>
      </c>
      <c r="Y371">
        <f t="shared" si="66"/>
        <v>0</v>
      </c>
      <c r="Z371">
        <f t="shared" si="67"/>
        <v>0</v>
      </c>
      <c r="AA371" t="str">
        <f>INDEX('Priority activities'!$D$5:$D$86,MATCH('Database for analysis'!C371,'Priority activities'!$C$5:$C$86,0))</f>
        <v>Staff and training</v>
      </c>
    </row>
    <row r="372" spans="2:27" ht="16.5" thickTop="1" thickBot="1" x14ac:dyDescent="0.3">
      <c r="B372" t="s">
        <v>195</v>
      </c>
      <c r="C372" s="22" t="str">
        <f>'Costing inputs'!$C$183</f>
        <v>Training materials - initial investment (SDA3.4 &amp; 5.1)</v>
      </c>
      <c r="D372" s="22" t="str">
        <f>'Costing inputs'!$U$183</f>
        <v>Evenly by province/region</v>
      </c>
      <c r="E372" s="22" t="str">
        <f>'Regional splits'!$D$14</f>
        <v>Copperbelt</v>
      </c>
      <c r="F372">
        <v>0</v>
      </c>
      <c r="G372">
        <v>66765.600000000006</v>
      </c>
      <c r="H372">
        <v>0</v>
      </c>
      <c r="I372">
        <v>0</v>
      </c>
      <c r="J372">
        <v>0</v>
      </c>
      <c r="K372">
        <v>66765.600000000006</v>
      </c>
      <c r="L372">
        <v>0</v>
      </c>
      <c r="M372">
        <v>0</v>
      </c>
      <c r="N372">
        <v>0</v>
      </c>
      <c r="O372">
        <v>0</v>
      </c>
      <c r="P372" s="5">
        <f t="shared" si="57"/>
        <v>133531.20000000001</v>
      </c>
      <c r="Q372">
        <f t="shared" si="58"/>
        <v>0</v>
      </c>
      <c r="R372">
        <f t="shared" si="59"/>
        <v>66765.600000000006</v>
      </c>
      <c r="S372">
        <f t="shared" si="60"/>
        <v>0</v>
      </c>
      <c r="T372">
        <f t="shared" si="61"/>
        <v>0</v>
      </c>
      <c r="U372">
        <f t="shared" si="62"/>
        <v>0</v>
      </c>
      <c r="V372">
        <f t="shared" si="63"/>
        <v>66765.600000000006</v>
      </c>
      <c r="W372">
        <f t="shared" si="64"/>
        <v>0</v>
      </c>
      <c r="X372">
        <f t="shared" si="65"/>
        <v>0</v>
      </c>
      <c r="Y372">
        <f t="shared" si="66"/>
        <v>0</v>
      </c>
      <c r="Z372">
        <f t="shared" si="67"/>
        <v>0</v>
      </c>
      <c r="AA372" t="str">
        <f>INDEX('Priority activities'!$D$5:$D$86,MATCH('Database for analysis'!C372,'Priority activities'!$C$5:$C$86,0))</f>
        <v>Staff and training</v>
      </c>
    </row>
    <row r="373" spans="2:27" ht="16.5" thickTop="1" thickBot="1" x14ac:dyDescent="0.3">
      <c r="B373" t="s">
        <v>195</v>
      </c>
      <c r="C373" s="22" t="str">
        <f>'Costing inputs'!$C$183</f>
        <v>Training materials - initial investment (SDA3.4 &amp; 5.1)</v>
      </c>
      <c r="D373" s="22" t="str">
        <f>'Costing inputs'!$U$183</f>
        <v>Evenly by province/region</v>
      </c>
      <c r="E373" s="22" t="str">
        <f>'Regional splits'!$E$14</f>
        <v>Eastern</v>
      </c>
      <c r="F373">
        <v>0</v>
      </c>
      <c r="G373">
        <v>66765.600000000006</v>
      </c>
      <c r="H373">
        <v>0</v>
      </c>
      <c r="I373">
        <v>0</v>
      </c>
      <c r="J373">
        <v>0</v>
      </c>
      <c r="K373">
        <v>66765.600000000006</v>
      </c>
      <c r="L373">
        <v>0</v>
      </c>
      <c r="M373">
        <v>0</v>
      </c>
      <c r="N373">
        <v>0</v>
      </c>
      <c r="O373">
        <v>0</v>
      </c>
      <c r="P373" s="5">
        <f t="shared" si="57"/>
        <v>133531.20000000001</v>
      </c>
      <c r="Q373">
        <f t="shared" si="58"/>
        <v>0</v>
      </c>
      <c r="R373">
        <f t="shared" si="59"/>
        <v>66765.600000000006</v>
      </c>
      <c r="S373">
        <f t="shared" si="60"/>
        <v>0</v>
      </c>
      <c r="T373">
        <f t="shared" si="61"/>
        <v>0</v>
      </c>
      <c r="U373">
        <f t="shared" si="62"/>
        <v>0</v>
      </c>
      <c r="V373">
        <f t="shared" si="63"/>
        <v>66765.600000000006</v>
      </c>
      <c r="W373">
        <f t="shared" si="64"/>
        <v>0</v>
      </c>
      <c r="X373">
        <f t="shared" si="65"/>
        <v>0</v>
      </c>
      <c r="Y373">
        <f t="shared" si="66"/>
        <v>0</v>
      </c>
      <c r="Z373">
        <f t="shared" si="67"/>
        <v>0</v>
      </c>
      <c r="AA373" t="str">
        <f>INDEX('Priority activities'!$D$5:$D$86,MATCH('Database for analysis'!C373,'Priority activities'!$C$5:$C$86,0))</f>
        <v>Staff and training</v>
      </c>
    </row>
    <row r="374" spans="2:27" ht="16.5" thickTop="1" thickBot="1" x14ac:dyDescent="0.3">
      <c r="B374" t="s">
        <v>195</v>
      </c>
      <c r="C374" s="22" t="str">
        <f>'Costing inputs'!$C$183</f>
        <v>Training materials - initial investment (SDA3.4 &amp; 5.1)</v>
      </c>
      <c r="D374" s="22" t="str">
        <f>'Costing inputs'!$U$183</f>
        <v>Evenly by province/region</v>
      </c>
      <c r="E374" s="22" t="str">
        <f>'Regional splits'!$F$14</f>
        <v>Luapula</v>
      </c>
      <c r="F374">
        <v>0</v>
      </c>
      <c r="G374">
        <v>66765.600000000006</v>
      </c>
      <c r="H374">
        <v>0</v>
      </c>
      <c r="I374">
        <v>0</v>
      </c>
      <c r="J374">
        <v>0</v>
      </c>
      <c r="K374">
        <v>66765.600000000006</v>
      </c>
      <c r="L374">
        <v>0</v>
      </c>
      <c r="M374">
        <v>0</v>
      </c>
      <c r="N374">
        <v>0</v>
      </c>
      <c r="O374">
        <v>0</v>
      </c>
      <c r="P374" s="5">
        <f t="shared" si="57"/>
        <v>133531.20000000001</v>
      </c>
      <c r="Q374">
        <f t="shared" si="58"/>
        <v>0</v>
      </c>
      <c r="R374">
        <f t="shared" si="59"/>
        <v>66765.600000000006</v>
      </c>
      <c r="S374">
        <f t="shared" si="60"/>
        <v>0</v>
      </c>
      <c r="T374">
        <f t="shared" si="61"/>
        <v>0</v>
      </c>
      <c r="U374">
        <f t="shared" si="62"/>
        <v>0</v>
      </c>
      <c r="V374">
        <f t="shared" si="63"/>
        <v>66765.600000000006</v>
      </c>
      <c r="W374">
        <f t="shared" si="64"/>
        <v>0</v>
      </c>
      <c r="X374">
        <f t="shared" si="65"/>
        <v>0</v>
      </c>
      <c r="Y374">
        <f t="shared" si="66"/>
        <v>0</v>
      </c>
      <c r="Z374">
        <f t="shared" si="67"/>
        <v>0</v>
      </c>
      <c r="AA374" t="str">
        <f>INDEX('Priority activities'!$D$5:$D$86,MATCH('Database for analysis'!C374,'Priority activities'!$C$5:$C$86,0))</f>
        <v>Staff and training</v>
      </c>
    </row>
    <row r="375" spans="2:27" ht="16.5" thickTop="1" thickBot="1" x14ac:dyDescent="0.3">
      <c r="B375" t="s">
        <v>195</v>
      </c>
      <c r="C375" s="22" t="str">
        <f>'Costing inputs'!$C$183</f>
        <v>Training materials - initial investment (SDA3.4 &amp; 5.1)</v>
      </c>
      <c r="D375" s="22" t="str">
        <f>'Costing inputs'!$U$183</f>
        <v>Evenly by province/region</v>
      </c>
      <c r="E375" s="22" t="str">
        <f>'Regional splits'!$G$14</f>
        <v>Lusaka</v>
      </c>
      <c r="F375">
        <v>0</v>
      </c>
      <c r="G375">
        <v>66765.600000000006</v>
      </c>
      <c r="H375">
        <v>0</v>
      </c>
      <c r="I375">
        <v>0</v>
      </c>
      <c r="J375">
        <v>0</v>
      </c>
      <c r="K375">
        <v>66765.600000000006</v>
      </c>
      <c r="L375">
        <v>0</v>
      </c>
      <c r="M375">
        <v>0</v>
      </c>
      <c r="N375">
        <v>0</v>
      </c>
      <c r="O375">
        <v>0</v>
      </c>
      <c r="P375" s="5">
        <f t="shared" si="57"/>
        <v>133531.20000000001</v>
      </c>
      <c r="Q375">
        <f t="shared" si="58"/>
        <v>0</v>
      </c>
      <c r="R375">
        <f t="shared" si="59"/>
        <v>66765.600000000006</v>
      </c>
      <c r="S375">
        <f t="shared" si="60"/>
        <v>0</v>
      </c>
      <c r="T375">
        <f t="shared" si="61"/>
        <v>0</v>
      </c>
      <c r="U375">
        <f t="shared" si="62"/>
        <v>0</v>
      </c>
      <c r="V375">
        <f t="shared" si="63"/>
        <v>66765.600000000006</v>
      </c>
      <c r="W375">
        <f t="shared" si="64"/>
        <v>0</v>
      </c>
      <c r="X375">
        <f t="shared" si="65"/>
        <v>0</v>
      </c>
      <c r="Y375">
        <f t="shared" si="66"/>
        <v>0</v>
      </c>
      <c r="Z375">
        <f t="shared" si="67"/>
        <v>0</v>
      </c>
      <c r="AA375" t="str">
        <f>INDEX('Priority activities'!$D$5:$D$86,MATCH('Database for analysis'!C375,'Priority activities'!$C$5:$C$86,0))</f>
        <v>Staff and training</v>
      </c>
    </row>
    <row r="376" spans="2:27" ht="16.5" thickTop="1" thickBot="1" x14ac:dyDescent="0.3">
      <c r="B376" t="s">
        <v>195</v>
      </c>
      <c r="C376" s="22" t="str">
        <f>'Costing inputs'!$C$183</f>
        <v>Training materials - initial investment (SDA3.4 &amp; 5.1)</v>
      </c>
      <c r="D376" s="22" t="str">
        <f>'Costing inputs'!$U$183</f>
        <v>Evenly by province/region</v>
      </c>
      <c r="E376" s="22" t="str">
        <f>'Regional splits'!$H$14</f>
        <v>Muchinga</v>
      </c>
      <c r="F376">
        <v>0</v>
      </c>
      <c r="G376">
        <v>66765.600000000006</v>
      </c>
      <c r="H376">
        <v>0</v>
      </c>
      <c r="I376">
        <v>0</v>
      </c>
      <c r="J376">
        <v>0</v>
      </c>
      <c r="K376">
        <v>66765.600000000006</v>
      </c>
      <c r="L376">
        <v>0</v>
      </c>
      <c r="M376">
        <v>0</v>
      </c>
      <c r="N376">
        <v>0</v>
      </c>
      <c r="O376">
        <v>0</v>
      </c>
      <c r="P376" s="5">
        <f t="shared" si="57"/>
        <v>133531.20000000001</v>
      </c>
      <c r="Q376">
        <f t="shared" si="58"/>
        <v>0</v>
      </c>
      <c r="R376">
        <f t="shared" si="59"/>
        <v>66765.600000000006</v>
      </c>
      <c r="S376">
        <f t="shared" si="60"/>
        <v>0</v>
      </c>
      <c r="T376">
        <f t="shared" si="61"/>
        <v>0</v>
      </c>
      <c r="U376">
        <f t="shared" si="62"/>
        <v>0</v>
      </c>
      <c r="V376">
        <f t="shared" si="63"/>
        <v>66765.600000000006</v>
      </c>
      <c r="W376">
        <f t="shared" si="64"/>
        <v>0</v>
      </c>
      <c r="X376">
        <f t="shared" si="65"/>
        <v>0</v>
      </c>
      <c r="Y376">
        <f t="shared" si="66"/>
        <v>0</v>
      </c>
      <c r="Z376">
        <f t="shared" si="67"/>
        <v>0</v>
      </c>
      <c r="AA376" t="str">
        <f>INDEX('Priority activities'!$D$5:$D$86,MATCH('Database for analysis'!C376,'Priority activities'!$C$5:$C$86,0))</f>
        <v>Staff and training</v>
      </c>
    </row>
    <row r="377" spans="2:27" ht="16.5" thickTop="1" thickBot="1" x14ac:dyDescent="0.3">
      <c r="B377" t="s">
        <v>195</v>
      </c>
      <c r="C377" s="22" t="str">
        <f>'Costing inputs'!$C$183</f>
        <v>Training materials - initial investment (SDA3.4 &amp; 5.1)</v>
      </c>
      <c r="D377" s="22" t="str">
        <f>'Costing inputs'!$U$183</f>
        <v>Evenly by province/region</v>
      </c>
      <c r="E377" s="22" t="str">
        <f>'Regional splits'!$I$14</f>
        <v>Northern</v>
      </c>
      <c r="F377">
        <v>0</v>
      </c>
      <c r="G377">
        <v>66765.600000000006</v>
      </c>
      <c r="H377">
        <v>0</v>
      </c>
      <c r="I377">
        <v>0</v>
      </c>
      <c r="J377">
        <v>0</v>
      </c>
      <c r="K377">
        <v>66765.600000000006</v>
      </c>
      <c r="L377">
        <v>0</v>
      </c>
      <c r="M377">
        <v>0</v>
      </c>
      <c r="N377">
        <v>0</v>
      </c>
      <c r="O377">
        <v>0</v>
      </c>
      <c r="P377" s="5">
        <f t="shared" si="57"/>
        <v>133531.20000000001</v>
      </c>
      <c r="Q377">
        <f t="shared" si="58"/>
        <v>0</v>
      </c>
      <c r="R377">
        <f t="shared" si="59"/>
        <v>66765.600000000006</v>
      </c>
      <c r="S377">
        <f t="shared" si="60"/>
        <v>0</v>
      </c>
      <c r="T377">
        <f t="shared" si="61"/>
        <v>0</v>
      </c>
      <c r="U377">
        <f t="shared" si="62"/>
        <v>0</v>
      </c>
      <c r="V377">
        <f t="shared" si="63"/>
        <v>66765.600000000006</v>
      </c>
      <c r="W377">
        <f t="shared" si="64"/>
        <v>0</v>
      </c>
      <c r="X377">
        <f t="shared" si="65"/>
        <v>0</v>
      </c>
      <c r="Y377">
        <f t="shared" si="66"/>
        <v>0</v>
      </c>
      <c r="Z377">
        <f t="shared" si="67"/>
        <v>0</v>
      </c>
      <c r="AA377" t="str">
        <f>INDEX('Priority activities'!$D$5:$D$86,MATCH('Database for analysis'!C377,'Priority activities'!$C$5:$C$86,0))</f>
        <v>Staff and training</v>
      </c>
    </row>
    <row r="378" spans="2:27" ht="16.5" thickTop="1" thickBot="1" x14ac:dyDescent="0.3">
      <c r="B378" t="s">
        <v>195</v>
      </c>
      <c r="C378" s="22" t="str">
        <f>'Costing inputs'!$C$183</f>
        <v>Training materials - initial investment (SDA3.4 &amp; 5.1)</v>
      </c>
      <c r="D378" s="22" t="str">
        <f>'Costing inputs'!$U$183</f>
        <v>Evenly by province/region</v>
      </c>
      <c r="E378" s="22" t="str">
        <f>'Regional splits'!$J$14</f>
        <v>North Western</v>
      </c>
      <c r="F378">
        <v>0</v>
      </c>
      <c r="G378">
        <v>66765.600000000006</v>
      </c>
      <c r="H378">
        <v>0</v>
      </c>
      <c r="I378">
        <v>0</v>
      </c>
      <c r="J378">
        <v>0</v>
      </c>
      <c r="K378">
        <v>66765.600000000006</v>
      </c>
      <c r="L378">
        <v>0</v>
      </c>
      <c r="M378">
        <v>0</v>
      </c>
      <c r="N378">
        <v>0</v>
      </c>
      <c r="O378">
        <v>0</v>
      </c>
      <c r="P378" s="5">
        <f t="shared" si="57"/>
        <v>133531.20000000001</v>
      </c>
      <c r="Q378">
        <f t="shared" si="58"/>
        <v>0</v>
      </c>
      <c r="R378">
        <f t="shared" si="59"/>
        <v>66765.600000000006</v>
      </c>
      <c r="S378">
        <f t="shared" si="60"/>
        <v>0</v>
      </c>
      <c r="T378">
        <f t="shared" si="61"/>
        <v>0</v>
      </c>
      <c r="U378">
        <f t="shared" si="62"/>
        <v>0</v>
      </c>
      <c r="V378">
        <f t="shared" si="63"/>
        <v>66765.600000000006</v>
      </c>
      <c r="W378">
        <f t="shared" si="64"/>
        <v>0</v>
      </c>
      <c r="X378">
        <f t="shared" si="65"/>
        <v>0</v>
      </c>
      <c r="Y378">
        <f t="shared" si="66"/>
        <v>0</v>
      </c>
      <c r="Z378">
        <f t="shared" si="67"/>
        <v>0</v>
      </c>
      <c r="AA378" t="str">
        <f>INDEX('Priority activities'!$D$5:$D$86,MATCH('Database for analysis'!C378,'Priority activities'!$C$5:$C$86,0))</f>
        <v>Staff and training</v>
      </c>
    </row>
    <row r="379" spans="2:27" ht="16.5" thickTop="1" thickBot="1" x14ac:dyDescent="0.3">
      <c r="B379" t="s">
        <v>195</v>
      </c>
      <c r="C379" s="22" t="str">
        <f>'Costing inputs'!$C$183</f>
        <v>Training materials - initial investment (SDA3.4 &amp; 5.1)</v>
      </c>
      <c r="D379" s="22" t="str">
        <f>'Costing inputs'!$U$183</f>
        <v>Evenly by province/region</v>
      </c>
      <c r="E379" s="22" t="str">
        <f>'Regional splits'!$K$14</f>
        <v>Southern</v>
      </c>
      <c r="F379">
        <v>0</v>
      </c>
      <c r="G379">
        <v>66765.600000000006</v>
      </c>
      <c r="H379">
        <v>0</v>
      </c>
      <c r="I379">
        <v>0</v>
      </c>
      <c r="J379">
        <v>0</v>
      </c>
      <c r="K379">
        <v>66765.600000000006</v>
      </c>
      <c r="L379">
        <v>0</v>
      </c>
      <c r="M379">
        <v>0</v>
      </c>
      <c r="N379">
        <v>0</v>
      </c>
      <c r="O379">
        <v>0</v>
      </c>
      <c r="P379" s="5">
        <f t="shared" si="57"/>
        <v>133531.20000000001</v>
      </c>
      <c r="Q379">
        <f t="shared" si="58"/>
        <v>0</v>
      </c>
      <c r="R379">
        <f t="shared" si="59"/>
        <v>66765.600000000006</v>
      </c>
      <c r="S379">
        <f t="shared" si="60"/>
        <v>0</v>
      </c>
      <c r="T379">
        <f t="shared" si="61"/>
        <v>0</v>
      </c>
      <c r="U379">
        <f t="shared" si="62"/>
        <v>0</v>
      </c>
      <c r="V379">
        <f t="shared" si="63"/>
        <v>66765.600000000006</v>
      </c>
      <c r="W379">
        <f t="shared" si="64"/>
        <v>0</v>
      </c>
      <c r="X379">
        <f t="shared" si="65"/>
        <v>0</v>
      </c>
      <c r="Y379">
        <f t="shared" si="66"/>
        <v>0</v>
      </c>
      <c r="Z379">
        <f t="shared" si="67"/>
        <v>0</v>
      </c>
      <c r="AA379" t="str">
        <f>INDEX('Priority activities'!$D$5:$D$86,MATCH('Database for analysis'!C379,'Priority activities'!$C$5:$C$86,0))</f>
        <v>Staff and training</v>
      </c>
    </row>
    <row r="380" spans="2:27" ht="16.5" thickTop="1" thickBot="1" x14ac:dyDescent="0.3">
      <c r="B380" t="s">
        <v>195</v>
      </c>
      <c r="C380" s="22" t="str">
        <f>'Costing inputs'!$C$183</f>
        <v>Training materials - initial investment (SDA3.4 &amp; 5.1)</v>
      </c>
      <c r="D380" s="22" t="str">
        <f>'Costing inputs'!$U$183</f>
        <v>Evenly by province/region</v>
      </c>
      <c r="E380" s="22" t="str">
        <f>'Regional splits'!$L$14</f>
        <v>Western</v>
      </c>
      <c r="F380">
        <v>0</v>
      </c>
      <c r="G380">
        <v>66765.600000000006</v>
      </c>
      <c r="H380">
        <v>0</v>
      </c>
      <c r="I380">
        <v>0</v>
      </c>
      <c r="J380">
        <v>0</v>
      </c>
      <c r="K380">
        <v>66765.600000000006</v>
      </c>
      <c r="L380">
        <v>0</v>
      </c>
      <c r="M380">
        <v>0</v>
      </c>
      <c r="N380">
        <v>0</v>
      </c>
      <c r="O380">
        <v>0</v>
      </c>
      <c r="P380" s="5">
        <f t="shared" si="57"/>
        <v>133531.20000000001</v>
      </c>
      <c r="Q380">
        <f t="shared" si="58"/>
        <v>0</v>
      </c>
      <c r="R380">
        <f t="shared" si="59"/>
        <v>66765.600000000006</v>
      </c>
      <c r="S380">
        <f t="shared" si="60"/>
        <v>0</v>
      </c>
      <c r="T380">
        <f t="shared" si="61"/>
        <v>0</v>
      </c>
      <c r="U380">
        <f t="shared" si="62"/>
        <v>0</v>
      </c>
      <c r="V380">
        <f t="shared" si="63"/>
        <v>66765.600000000006</v>
      </c>
      <c r="W380">
        <f t="shared" si="64"/>
        <v>0</v>
      </c>
      <c r="X380">
        <f t="shared" si="65"/>
        <v>0</v>
      </c>
      <c r="Y380">
        <f t="shared" si="66"/>
        <v>0</v>
      </c>
      <c r="Z380">
        <f t="shared" si="67"/>
        <v>0</v>
      </c>
      <c r="AA380" t="str">
        <f>INDEX('Priority activities'!$D$5:$D$86,MATCH('Database for analysis'!C380,'Priority activities'!$C$5:$C$86,0))</f>
        <v>Staff and training</v>
      </c>
    </row>
    <row r="381" spans="2:27" ht="16.5" thickTop="1" thickBot="1" x14ac:dyDescent="0.3">
      <c r="B381" t="s">
        <v>195</v>
      </c>
      <c r="C381" s="22" t="str">
        <f>'Costing inputs'!$C$183</f>
        <v>Training materials - initial investment (SDA3.4 &amp; 5.1)</v>
      </c>
      <c r="D381" s="22" t="str">
        <f>'Costing inputs'!$U$183</f>
        <v>Evenly by province/region</v>
      </c>
      <c r="E381" s="22">
        <f>'Regional splits'!$M$14</f>
        <v>0</v>
      </c>
      <c r="F381">
        <v>0</v>
      </c>
      <c r="G381">
        <v>0</v>
      </c>
      <c r="H381">
        <v>0</v>
      </c>
      <c r="I381">
        <v>0</v>
      </c>
      <c r="J381">
        <v>0</v>
      </c>
      <c r="K381">
        <v>0</v>
      </c>
      <c r="L381">
        <v>0</v>
      </c>
      <c r="M381">
        <v>0</v>
      </c>
      <c r="N381">
        <v>0</v>
      </c>
      <c r="O381">
        <v>0</v>
      </c>
      <c r="P381" s="5">
        <f t="shared" si="57"/>
        <v>0</v>
      </c>
      <c r="Q381">
        <f t="shared" si="58"/>
        <v>0</v>
      </c>
      <c r="R381">
        <f t="shared" si="59"/>
        <v>0</v>
      </c>
      <c r="S381">
        <f t="shared" si="60"/>
        <v>0</v>
      </c>
      <c r="T381">
        <f t="shared" si="61"/>
        <v>0</v>
      </c>
      <c r="U381">
        <f t="shared" si="62"/>
        <v>0</v>
      </c>
      <c r="V381">
        <f t="shared" si="63"/>
        <v>0</v>
      </c>
      <c r="W381">
        <f t="shared" si="64"/>
        <v>0</v>
      </c>
      <c r="X381">
        <f t="shared" si="65"/>
        <v>0</v>
      </c>
      <c r="Y381">
        <f t="shared" si="66"/>
        <v>0</v>
      </c>
      <c r="Z381">
        <f t="shared" si="67"/>
        <v>0</v>
      </c>
      <c r="AA381" t="str">
        <f>INDEX('Priority activities'!$D$5:$D$86,MATCH('Database for analysis'!C381,'Priority activities'!$C$5:$C$86,0))</f>
        <v>Staff and training</v>
      </c>
    </row>
    <row r="382" spans="2:27" ht="16.5" thickTop="1" thickBot="1" x14ac:dyDescent="0.3">
      <c r="B382" t="s">
        <v>195</v>
      </c>
      <c r="C382" s="22" t="str">
        <f>'Costing inputs'!$C$183</f>
        <v>Training materials - initial investment (SDA3.4 &amp; 5.1)</v>
      </c>
      <c r="D382" s="22" t="str">
        <f>'Costing inputs'!$U$183</f>
        <v>Evenly by province/region</v>
      </c>
      <c r="E382" s="22">
        <f>'Regional splits'!$N$14</f>
        <v>0</v>
      </c>
      <c r="F382">
        <v>0</v>
      </c>
      <c r="G382">
        <v>0</v>
      </c>
      <c r="H382">
        <v>0</v>
      </c>
      <c r="I382">
        <v>0</v>
      </c>
      <c r="J382">
        <v>0</v>
      </c>
      <c r="K382">
        <v>0</v>
      </c>
      <c r="L382">
        <v>0</v>
      </c>
      <c r="M382">
        <v>0</v>
      </c>
      <c r="N382">
        <v>0</v>
      </c>
      <c r="O382">
        <v>0</v>
      </c>
      <c r="P382" s="5">
        <f t="shared" si="57"/>
        <v>0</v>
      </c>
      <c r="Q382">
        <f t="shared" si="58"/>
        <v>0</v>
      </c>
      <c r="R382">
        <f t="shared" si="59"/>
        <v>0</v>
      </c>
      <c r="S382">
        <f t="shared" si="60"/>
        <v>0</v>
      </c>
      <c r="T382">
        <f t="shared" si="61"/>
        <v>0</v>
      </c>
      <c r="U382">
        <f t="shared" si="62"/>
        <v>0</v>
      </c>
      <c r="V382">
        <f t="shared" si="63"/>
        <v>0</v>
      </c>
      <c r="W382">
        <f t="shared" si="64"/>
        <v>0</v>
      </c>
      <c r="X382">
        <f t="shared" si="65"/>
        <v>0</v>
      </c>
      <c r="Y382">
        <f t="shared" si="66"/>
        <v>0</v>
      </c>
      <c r="Z382">
        <f t="shared" si="67"/>
        <v>0</v>
      </c>
      <c r="AA382" t="str">
        <f>INDEX('Priority activities'!$D$5:$D$86,MATCH('Database for analysis'!C382,'Priority activities'!$C$5:$C$86,0))</f>
        <v>Staff and training</v>
      </c>
    </row>
    <row r="383" spans="2:27" ht="16.5" thickTop="1" thickBot="1" x14ac:dyDescent="0.3">
      <c r="B383" t="s">
        <v>195</v>
      </c>
      <c r="C383" s="22" t="str">
        <f>'Costing inputs'!$C$183</f>
        <v>Training materials - initial investment (SDA3.4 &amp; 5.1)</v>
      </c>
      <c r="D383" s="22" t="str">
        <f>'Costing inputs'!$U$183</f>
        <v>Evenly by province/region</v>
      </c>
      <c r="E383" s="22">
        <f>'Regional splits'!$O$14</f>
        <v>0</v>
      </c>
      <c r="F383">
        <v>0</v>
      </c>
      <c r="G383">
        <v>0</v>
      </c>
      <c r="H383">
        <v>0</v>
      </c>
      <c r="I383">
        <v>0</v>
      </c>
      <c r="J383">
        <v>0</v>
      </c>
      <c r="K383">
        <v>0</v>
      </c>
      <c r="L383">
        <v>0</v>
      </c>
      <c r="M383">
        <v>0</v>
      </c>
      <c r="N383">
        <v>0</v>
      </c>
      <c r="O383">
        <v>0</v>
      </c>
      <c r="P383" s="5">
        <f t="shared" si="57"/>
        <v>0</v>
      </c>
      <c r="Q383">
        <f t="shared" si="58"/>
        <v>0</v>
      </c>
      <c r="R383">
        <f t="shared" si="59"/>
        <v>0</v>
      </c>
      <c r="S383">
        <f t="shared" si="60"/>
        <v>0</v>
      </c>
      <c r="T383">
        <f t="shared" si="61"/>
        <v>0</v>
      </c>
      <c r="U383">
        <f t="shared" si="62"/>
        <v>0</v>
      </c>
      <c r="V383">
        <f t="shared" si="63"/>
        <v>0</v>
      </c>
      <c r="W383">
        <f t="shared" si="64"/>
        <v>0</v>
      </c>
      <c r="X383">
        <f t="shared" si="65"/>
        <v>0</v>
      </c>
      <c r="Y383">
        <f t="shared" si="66"/>
        <v>0</v>
      </c>
      <c r="Z383">
        <f t="shared" si="67"/>
        <v>0</v>
      </c>
      <c r="AA383" t="str">
        <f>INDEX('Priority activities'!$D$5:$D$86,MATCH('Database for analysis'!C383,'Priority activities'!$C$5:$C$86,0))</f>
        <v>Staff and training</v>
      </c>
    </row>
    <row r="384" spans="2:27" ht="16.5" thickTop="1" thickBot="1" x14ac:dyDescent="0.3">
      <c r="B384" t="s">
        <v>195</v>
      </c>
      <c r="C384" s="22" t="str">
        <f>'Costing inputs'!$C$183</f>
        <v>Training materials - initial investment (SDA3.4 &amp; 5.1)</v>
      </c>
      <c r="D384" s="22" t="str">
        <f>'Costing inputs'!$U$183</f>
        <v>Evenly by province/region</v>
      </c>
      <c r="E384" s="22">
        <f>'Regional splits'!$P$14</f>
        <v>0</v>
      </c>
      <c r="F384">
        <v>0</v>
      </c>
      <c r="G384">
        <v>0</v>
      </c>
      <c r="H384">
        <v>0</v>
      </c>
      <c r="I384">
        <v>0</v>
      </c>
      <c r="J384">
        <v>0</v>
      </c>
      <c r="K384">
        <v>0</v>
      </c>
      <c r="L384">
        <v>0</v>
      </c>
      <c r="M384">
        <v>0</v>
      </c>
      <c r="N384">
        <v>0</v>
      </c>
      <c r="O384">
        <v>0</v>
      </c>
      <c r="P384" s="5">
        <f t="shared" si="57"/>
        <v>0</v>
      </c>
      <c r="Q384">
        <f t="shared" si="58"/>
        <v>0</v>
      </c>
      <c r="R384">
        <f t="shared" si="59"/>
        <v>0</v>
      </c>
      <c r="S384">
        <f t="shared" si="60"/>
        <v>0</v>
      </c>
      <c r="T384">
        <f t="shared" si="61"/>
        <v>0</v>
      </c>
      <c r="U384">
        <f t="shared" si="62"/>
        <v>0</v>
      </c>
      <c r="V384">
        <f t="shared" si="63"/>
        <v>0</v>
      </c>
      <c r="W384">
        <f t="shared" si="64"/>
        <v>0</v>
      </c>
      <c r="X384">
        <f t="shared" si="65"/>
        <v>0</v>
      </c>
      <c r="Y384">
        <f t="shared" si="66"/>
        <v>0</v>
      </c>
      <c r="Z384">
        <f t="shared" si="67"/>
        <v>0</v>
      </c>
      <c r="AA384" t="str">
        <f>INDEX('Priority activities'!$D$5:$D$86,MATCH('Database for analysis'!C384,'Priority activities'!$C$5:$C$86,0))</f>
        <v>Staff and training</v>
      </c>
    </row>
    <row r="385" spans="2:27" ht="16.5" thickTop="1" thickBot="1" x14ac:dyDescent="0.3">
      <c r="B385" t="s">
        <v>195</v>
      </c>
      <c r="C385" s="22" t="str">
        <f>'Costing inputs'!$C$183</f>
        <v>Training materials - initial investment (SDA3.4 &amp; 5.1)</v>
      </c>
      <c r="D385" s="22" t="str">
        <f>'Costing inputs'!$U$183</f>
        <v>Evenly by province/region</v>
      </c>
      <c r="E385" s="22">
        <f>'Regional splits'!$Q$14</f>
        <v>0</v>
      </c>
      <c r="F385">
        <v>0</v>
      </c>
      <c r="G385">
        <v>0</v>
      </c>
      <c r="H385">
        <v>0</v>
      </c>
      <c r="I385">
        <v>0</v>
      </c>
      <c r="J385">
        <v>0</v>
      </c>
      <c r="K385">
        <v>0</v>
      </c>
      <c r="L385">
        <v>0</v>
      </c>
      <c r="M385">
        <v>0</v>
      </c>
      <c r="N385">
        <v>0</v>
      </c>
      <c r="O385">
        <v>0</v>
      </c>
      <c r="P385" s="5">
        <f t="shared" si="57"/>
        <v>0</v>
      </c>
      <c r="Q385">
        <f t="shared" si="58"/>
        <v>0</v>
      </c>
      <c r="R385">
        <f t="shared" si="59"/>
        <v>0</v>
      </c>
      <c r="S385">
        <f t="shared" si="60"/>
        <v>0</v>
      </c>
      <c r="T385">
        <f t="shared" si="61"/>
        <v>0</v>
      </c>
      <c r="U385">
        <f t="shared" si="62"/>
        <v>0</v>
      </c>
      <c r="V385">
        <f t="shared" si="63"/>
        <v>0</v>
      </c>
      <c r="W385">
        <f t="shared" si="64"/>
        <v>0</v>
      </c>
      <c r="X385">
        <f t="shared" si="65"/>
        <v>0</v>
      </c>
      <c r="Y385">
        <f t="shared" si="66"/>
        <v>0</v>
      </c>
      <c r="Z385">
        <f t="shared" si="67"/>
        <v>0</v>
      </c>
      <c r="AA385" t="str">
        <f>INDEX('Priority activities'!$D$5:$D$86,MATCH('Database for analysis'!C385,'Priority activities'!$C$5:$C$86,0))</f>
        <v>Staff and training</v>
      </c>
    </row>
    <row r="386" spans="2:27" ht="16.5" thickTop="1" thickBot="1" x14ac:dyDescent="0.3">
      <c r="B386" t="s">
        <v>195</v>
      </c>
      <c r="C386" s="22" t="str">
        <f>'Costing inputs'!$C$183</f>
        <v>Training materials - initial investment (SDA3.4 &amp; 5.1)</v>
      </c>
      <c r="D386" s="22" t="str">
        <f>'Costing inputs'!$U$183</f>
        <v>Evenly by province/region</v>
      </c>
      <c r="E386" s="22" t="str">
        <f>'Regional splits'!$R$14</f>
        <v>National-level</v>
      </c>
      <c r="F386">
        <v>0</v>
      </c>
      <c r="G386">
        <v>0</v>
      </c>
      <c r="H386">
        <v>0</v>
      </c>
      <c r="I386">
        <v>0</v>
      </c>
      <c r="J386">
        <v>0</v>
      </c>
      <c r="K386">
        <v>0</v>
      </c>
      <c r="L386">
        <v>0</v>
      </c>
      <c r="M386">
        <v>0</v>
      </c>
      <c r="N386">
        <v>0</v>
      </c>
      <c r="O386">
        <v>0</v>
      </c>
      <c r="P386" s="5">
        <f t="shared" si="57"/>
        <v>0</v>
      </c>
      <c r="Q386">
        <f t="shared" si="58"/>
        <v>0</v>
      </c>
      <c r="R386">
        <f t="shared" si="59"/>
        <v>0</v>
      </c>
      <c r="S386">
        <f t="shared" si="60"/>
        <v>0</v>
      </c>
      <c r="T386">
        <f t="shared" si="61"/>
        <v>0</v>
      </c>
      <c r="U386">
        <f t="shared" si="62"/>
        <v>0</v>
      </c>
      <c r="V386">
        <f t="shared" si="63"/>
        <v>0</v>
      </c>
      <c r="W386">
        <f t="shared" si="64"/>
        <v>0</v>
      </c>
      <c r="X386">
        <f t="shared" si="65"/>
        <v>0</v>
      </c>
      <c r="Y386">
        <f t="shared" si="66"/>
        <v>0</v>
      </c>
      <c r="Z386">
        <f t="shared" si="67"/>
        <v>0</v>
      </c>
      <c r="AA386" t="str">
        <f>INDEX('Priority activities'!$D$5:$D$86,MATCH('Database for analysis'!C386,'Priority activities'!$C$5:$C$86,0))</f>
        <v>Staff and training</v>
      </c>
    </row>
    <row r="387" spans="2:27" ht="16.5" thickTop="1" thickBot="1" x14ac:dyDescent="0.3">
      <c r="B387" t="s">
        <v>195</v>
      </c>
      <c r="C387" s="22" t="str">
        <f>'Costing inputs'!$C$187</f>
        <v>Mini clinics pilot (SDA8.2)</v>
      </c>
      <c r="D387" s="22" t="str">
        <f>'Costing inputs'!$U$187</f>
        <v>Population</v>
      </c>
      <c r="E387" s="22" t="str">
        <f>'Regional splits'!$C$14</f>
        <v>Central</v>
      </c>
      <c r="F387">
        <f t="array" ref="F387:O402">'Costing inputs'!S187*'Costing inputs'!AP187:AY187*TRANSPOSE('Costing inputs'!W187:AL187)</f>
        <v>0</v>
      </c>
      <c r="G387">
        <v>5044.2402667662109</v>
      </c>
      <c r="H387">
        <v>5044.2402667662109</v>
      </c>
      <c r="I387">
        <v>5044.2402667662109</v>
      </c>
      <c r="J387">
        <v>0</v>
      </c>
      <c r="K387">
        <v>0</v>
      </c>
      <c r="L387">
        <v>0</v>
      </c>
      <c r="M387">
        <v>0</v>
      </c>
      <c r="N387">
        <v>0</v>
      </c>
      <c r="O387">
        <v>0</v>
      </c>
      <c r="P387" s="5">
        <f t="shared" si="57"/>
        <v>15132.720800298634</v>
      </c>
      <c r="Q387">
        <f t="shared" si="58"/>
        <v>0</v>
      </c>
      <c r="R387">
        <f t="shared" si="59"/>
        <v>5044.2402667662109</v>
      </c>
      <c r="S387">
        <f t="shared" si="60"/>
        <v>5044.2402667662109</v>
      </c>
      <c r="T387">
        <f t="shared" si="61"/>
        <v>5044.2402667662109</v>
      </c>
      <c r="U387">
        <f t="shared" si="62"/>
        <v>0</v>
      </c>
      <c r="V387">
        <f t="shared" si="63"/>
        <v>0</v>
      </c>
      <c r="W387">
        <f t="shared" si="64"/>
        <v>0</v>
      </c>
      <c r="X387">
        <f t="shared" si="65"/>
        <v>0</v>
      </c>
      <c r="Y387">
        <f t="shared" si="66"/>
        <v>0</v>
      </c>
      <c r="Z387">
        <f t="shared" si="67"/>
        <v>0</v>
      </c>
      <c r="AA387" t="str">
        <f>INDEX('Priority activities'!$D$5:$D$86,MATCH('Database for analysis'!C387,'Priority activities'!$C$5:$C$86,0))</f>
        <v>Rural and underserved access to FP services</v>
      </c>
    </row>
    <row r="388" spans="2:27" ht="16.5" thickTop="1" thickBot="1" x14ac:dyDescent="0.3">
      <c r="B388" t="s">
        <v>195</v>
      </c>
      <c r="C388" s="22" t="str">
        <f>'Costing inputs'!$C$187</f>
        <v>Mini clinics pilot (SDA8.2)</v>
      </c>
      <c r="D388" s="22" t="str">
        <f>'Costing inputs'!$U$187</f>
        <v>Population</v>
      </c>
      <c r="E388" s="22" t="str">
        <f>'Regional splits'!$D$14</f>
        <v>Copperbelt</v>
      </c>
      <c r="F388">
        <v>0</v>
      </c>
      <c r="G388">
        <v>7792.8234938822807</v>
      </c>
      <c r="H388">
        <v>7792.8234938822807</v>
      </c>
      <c r="I388">
        <v>7792.8234938822807</v>
      </c>
      <c r="J388">
        <v>0</v>
      </c>
      <c r="K388">
        <v>0</v>
      </c>
      <c r="L388">
        <v>0</v>
      </c>
      <c r="M388">
        <v>0</v>
      </c>
      <c r="N388">
        <v>0</v>
      </c>
      <c r="O388">
        <v>0</v>
      </c>
      <c r="P388" s="5">
        <f t="shared" ref="P388:P451" si="68">SUMIF(F388:O388,"&lt;&gt;#N/A")</f>
        <v>23378.470481646844</v>
      </c>
      <c r="Q388">
        <f t="shared" ref="Q388:Q451" si="69">IF(ISNA(F388),0,F388)</f>
        <v>0</v>
      </c>
      <c r="R388">
        <f t="shared" ref="R388:R451" si="70">IF(ISNA(G388),0,G388)</f>
        <v>7792.8234938822807</v>
      </c>
      <c r="S388">
        <f t="shared" ref="S388:S451" si="71">IF(ISNA(H388),0,H388)</f>
        <v>7792.8234938822807</v>
      </c>
      <c r="T388">
        <f t="shared" ref="T388:T451" si="72">IF(ISNA(I388),0,I388)</f>
        <v>7792.8234938822807</v>
      </c>
      <c r="U388">
        <f t="shared" ref="U388:U451" si="73">IF(ISNA(J388),0,J388)</f>
        <v>0</v>
      </c>
      <c r="V388">
        <f t="shared" ref="V388:V451" si="74">IF(ISNA(K388),0,K388)</f>
        <v>0</v>
      </c>
      <c r="W388">
        <f t="shared" ref="W388:W451" si="75">IF(ISNA(L388),0,L388)</f>
        <v>0</v>
      </c>
      <c r="X388">
        <f t="shared" ref="X388:X451" si="76">IF(ISNA(M388),0,M388)</f>
        <v>0</v>
      </c>
      <c r="Y388">
        <f t="shared" ref="Y388:Y451" si="77">IF(ISNA(N388),0,N388)</f>
        <v>0</v>
      </c>
      <c r="Z388">
        <f t="shared" ref="Z388:Z451" si="78">IF(ISNA(O388),0,O388)</f>
        <v>0</v>
      </c>
      <c r="AA388" t="str">
        <f>INDEX('Priority activities'!$D$5:$D$86,MATCH('Database for analysis'!C388,'Priority activities'!$C$5:$C$86,0))</f>
        <v>Rural and underserved access to FP services</v>
      </c>
    </row>
    <row r="389" spans="2:27" ht="16.5" thickTop="1" thickBot="1" x14ac:dyDescent="0.3">
      <c r="B389" t="s">
        <v>195</v>
      </c>
      <c r="C389" s="22" t="str">
        <f>'Costing inputs'!$C$187</f>
        <v>Mini clinics pilot (SDA8.2)</v>
      </c>
      <c r="D389" s="22" t="str">
        <f>'Costing inputs'!$U$187</f>
        <v>Population</v>
      </c>
      <c r="E389" s="22" t="str">
        <f>'Regional splits'!$E$14</f>
        <v>Eastern</v>
      </c>
      <c r="F389">
        <v>0</v>
      </c>
      <c r="G389">
        <v>6794.5930676965809</v>
      </c>
      <c r="H389">
        <v>6794.5930676965809</v>
      </c>
      <c r="I389">
        <v>6794.5930676965809</v>
      </c>
      <c r="J389">
        <v>0</v>
      </c>
      <c r="K389">
        <v>0</v>
      </c>
      <c r="L389">
        <v>0</v>
      </c>
      <c r="M389">
        <v>0</v>
      </c>
      <c r="N389">
        <v>0</v>
      </c>
      <c r="O389">
        <v>0</v>
      </c>
      <c r="P389" s="5">
        <f t="shared" si="68"/>
        <v>20383.779203089744</v>
      </c>
      <c r="Q389">
        <f t="shared" si="69"/>
        <v>0</v>
      </c>
      <c r="R389">
        <f t="shared" si="70"/>
        <v>6794.5930676965809</v>
      </c>
      <c r="S389">
        <f t="shared" si="71"/>
        <v>6794.5930676965809</v>
      </c>
      <c r="T389">
        <f t="shared" si="72"/>
        <v>6794.5930676965809</v>
      </c>
      <c r="U389">
        <f t="shared" si="73"/>
        <v>0</v>
      </c>
      <c r="V389">
        <f t="shared" si="74"/>
        <v>0</v>
      </c>
      <c r="W389">
        <f t="shared" si="75"/>
        <v>0</v>
      </c>
      <c r="X389">
        <f t="shared" si="76"/>
        <v>0</v>
      </c>
      <c r="Y389">
        <f t="shared" si="77"/>
        <v>0</v>
      </c>
      <c r="Z389">
        <f t="shared" si="78"/>
        <v>0</v>
      </c>
      <c r="AA389" t="str">
        <f>INDEX('Priority activities'!$D$5:$D$86,MATCH('Database for analysis'!C389,'Priority activities'!$C$5:$C$86,0))</f>
        <v>Rural and underserved access to FP services</v>
      </c>
    </row>
    <row r="390" spans="2:27" ht="16.5" thickTop="1" thickBot="1" x14ac:dyDescent="0.3">
      <c r="B390" t="s">
        <v>195</v>
      </c>
      <c r="C390" s="22" t="str">
        <f>'Costing inputs'!$C$187</f>
        <v>Mini clinics pilot (SDA8.2)</v>
      </c>
      <c r="D390" s="22" t="str">
        <f>'Costing inputs'!$U$187</f>
        <v>Population</v>
      </c>
      <c r="E390" s="22" t="str">
        <f>'Regional splits'!$F$14</f>
        <v>Luapula</v>
      </c>
      <c r="F390">
        <v>0</v>
      </c>
      <c r="G390">
        <v>3815.502372263194</v>
      </c>
      <c r="H390">
        <v>3815.502372263194</v>
      </c>
      <c r="I390">
        <v>3815.502372263194</v>
      </c>
      <c r="J390">
        <v>0</v>
      </c>
      <c r="K390">
        <v>0</v>
      </c>
      <c r="L390">
        <v>0</v>
      </c>
      <c r="M390">
        <v>0</v>
      </c>
      <c r="N390">
        <v>0</v>
      </c>
      <c r="O390">
        <v>0</v>
      </c>
      <c r="P390" s="5">
        <f t="shared" si="68"/>
        <v>11446.507116789582</v>
      </c>
      <c r="Q390">
        <f t="shared" si="69"/>
        <v>0</v>
      </c>
      <c r="R390">
        <f t="shared" si="70"/>
        <v>3815.502372263194</v>
      </c>
      <c r="S390">
        <f t="shared" si="71"/>
        <v>3815.502372263194</v>
      </c>
      <c r="T390">
        <f t="shared" si="72"/>
        <v>3815.502372263194</v>
      </c>
      <c r="U390">
        <f t="shared" si="73"/>
        <v>0</v>
      </c>
      <c r="V390">
        <f t="shared" si="74"/>
        <v>0</v>
      </c>
      <c r="W390">
        <f t="shared" si="75"/>
        <v>0</v>
      </c>
      <c r="X390">
        <f t="shared" si="76"/>
        <v>0</v>
      </c>
      <c r="Y390">
        <f t="shared" si="77"/>
        <v>0</v>
      </c>
      <c r="Z390">
        <f t="shared" si="78"/>
        <v>0</v>
      </c>
      <c r="AA390" t="str">
        <f>INDEX('Priority activities'!$D$5:$D$86,MATCH('Database for analysis'!C390,'Priority activities'!$C$5:$C$86,0))</f>
        <v>Rural and underserved access to FP services</v>
      </c>
    </row>
    <row r="391" spans="2:27" ht="16.5" thickTop="1" thickBot="1" x14ac:dyDescent="0.3">
      <c r="B391" t="s">
        <v>195</v>
      </c>
      <c r="C391" s="22" t="str">
        <f>'Costing inputs'!$C$187</f>
        <v>Mini clinics pilot (SDA8.2)</v>
      </c>
      <c r="D391" s="22" t="str">
        <f>'Costing inputs'!$U$187</f>
        <v>Population</v>
      </c>
      <c r="E391" s="22" t="str">
        <f>'Regional splits'!$G$14</f>
        <v>Lusaka</v>
      </c>
      <c r="F391">
        <v>0</v>
      </c>
      <c r="G391">
        <v>8749.2017053578766</v>
      </c>
      <c r="H391">
        <v>8749.2017053578766</v>
      </c>
      <c r="I391">
        <v>8749.2017053578766</v>
      </c>
      <c r="J391">
        <v>0</v>
      </c>
      <c r="K391">
        <v>0</v>
      </c>
      <c r="L391">
        <v>0</v>
      </c>
      <c r="M391">
        <v>0</v>
      </c>
      <c r="N391">
        <v>0</v>
      </c>
      <c r="O391">
        <v>0</v>
      </c>
      <c r="P391" s="5">
        <f t="shared" si="68"/>
        <v>26247.605116073632</v>
      </c>
      <c r="Q391">
        <f t="shared" si="69"/>
        <v>0</v>
      </c>
      <c r="R391">
        <f t="shared" si="70"/>
        <v>8749.2017053578766</v>
      </c>
      <c r="S391">
        <f t="shared" si="71"/>
        <v>8749.2017053578766</v>
      </c>
      <c r="T391">
        <f t="shared" si="72"/>
        <v>8749.2017053578766</v>
      </c>
      <c r="U391">
        <f t="shared" si="73"/>
        <v>0</v>
      </c>
      <c r="V391">
        <f t="shared" si="74"/>
        <v>0</v>
      </c>
      <c r="W391">
        <f t="shared" si="75"/>
        <v>0</v>
      </c>
      <c r="X391">
        <f t="shared" si="76"/>
        <v>0</v>
      </c>
      <c r="Y391">
        <f t="shared" si="77"/>
        <v>0</v>
      </c>
      <c r="Z391">
        <f t="shared" si="78"/>
        <v>0</v>
      </c>
      <c r="AA391" t="str">
        <f>INDEX('Priority activities'!$D$5:$D$86,MATCH('Database for analysis'!C391,'Priority activities'!$C$5:$C$86,0))</f>
        <v>Rural and underserved access to FP services</v>
      </c>
    </row>
    <row r="392" spans="2:27" ht="16.5" thickTop="1" thickBot="1" x14ac:dyDescent="0.3">
      <c r="B392" t="s">
        <v>195</v>
      </c>
      <c r="C392" s="22" t="str">
        <f>'Costing inputs'!$C$187</f>
        <v>Mini clinics pilot (SDA8.2)</v>
      </c>
      <c r="D392" s="22" t="str">
        <f>'Costing inputs'!$U$187</f>
        <v>Population</v>
      </c>
      <c r="E392" s="22" t="str">
        <f>'Regional splits'!$H$14</f>
        <v>Muchinga</v>
      </c>
      <c r="F392">
        <v>0</v>
      </c>
      <c r="G392">
        <v>2692.6790717126778</v>
      </c>
      <c r="H392">
        <v>2692.6790717126778</v>
      </c>
      <c r="I392">
        <v>2692.6790717126778</v>
      </c>
      <c r="J392">
        <v>0</v>
      </c>
      <c r="K392">
        <v>0</v>
      </c>
      <c r="L392">
        <v>0</v>
      </c>
      <c r="M392">
        <v>0</v>
      </c>
      <c r="N392">
        <v>0</v>
      </c>
      <c r="O392">
        <v>0</v>
      </c>
      <c r="P392" s="5">
        <f t="shared" si="68"/>
        <v>8078.0372151380334</v>
      </c>
      <c r="Q392">
        <f t="shared" si="69"/>
        <v>0</v>
      </c>
      <c r="R392">
        <f t="shared" si="70"/>
        <v>2692.6790717126778</v>
      </c>
      <c r="S392">
        <f t="shared" si="71"/>
        <v>2692.6790717126778</v>
      </c>
      <c r="T392">
        <f t="shared" si="72"/>
        <v>2692.6790717126778</v>
      </c>
      <c r="U392">
        <f t="shared" si="73"/>
        <v>0</v>
      </c>
      <c r="V392">
        <f t="shared" si="74"/>
        <v>0</v>
      </c>
      <c r="W392">
        <f t="shared" si="75"/>
        <v>0</v>
      </c>
      <c r="X392">
        <f t="shared" si="76"/>
        <v>0</v>
      </c>
      <c r="Y392">
        <f t="shared" si="77"/>
        <v>0</v>
      </c>
      <c r="Z392">
        <f t="shared" si="78"/>
        <v>0</v>
      </c>
      <c r="AA392" t="str">
        <f>INDEX('Priority activities'!$D$5:$D$86,MATCH('Database for analysis'!C392,'Priority activities'!$C$5:$C$86,0))</f>
        <v>Rural and underserved access to FP services</v>
      </c>
    </row>
    <row r="393" spans="2:27" ht="16.5" thickTop="1" thickBot="1" x14ac:dyDescent="0.3">
      <c r="B393" t="s">
        <v>195</v>
      </c>
      <c r="C393" s="22" t="str">
        <f>'Costing inputs'!$C$187</f>
        <v>Mini clinics pilot (SDA8.2)</v>
      </c>
      <c r="D393" s="22" t="str">
        <f>'Costing inputs'!$U$187</f>
        <v>Population</v>
      </c>
      <c r="E393" s="22" t="str">
        <f>'Regional splits'!$I$14</f>
        <v>Northern</v>
      </c>
      <c r="F393">
        <v>0</v>
      </c>
      <c r="G393">
        <v>728100.42099110817</v>
      </c>
      <c r="H393">
        <v>728100.42099110817</v>
      </c>
      <c r="I393">
        <v>728100.42099110817</v>
      </c>
      <c r="J393">
        <v>0</v>
      </c>
      <c r="K393">
        <v>0</v>
      </c>
      <c r="L393">
        <v>0</v>
      </c>
      <c r="M393">
        <v>0</v>
      </c>
      <c r="N393">
        <v>0</v>
      </c>
      <c r="O393">
        <v>0</v>
      </c>
      <c r="P393" s="5">
        <f t="shared" si="68"/>
        <v>2184301.2629733244</v>
      </c>
      <c r="Q393">
        <f t="shared" si="69"/>
        <v>0</v>
      </c>
      <c r="R393">
        <f t="shared" si="70"/>
        <v>728100.42099110817</v>
      </c>
      <c r="S393">
        <f t="shared" si="71"/>
        <v>728100.42099110817</v>
      </c>
      <c r="T393">
        <f t="shared" si="72"/>
        <v>728100.42099110817</v>
      </c>
      <c r="U393">
        <f t="shared" si="73"/>
        <v>0</v>
      </c>
      <c r="V393">
        <f t="shared" si="74"/>
        <v>0</v>
      </c>
      <c r="W393">
        <f t="shared" si="75"/>
        <v>0</v>
      </c>
      <c r="X393">
        <f t="shared" si="76"/>
        <v>0</v>
      </c>
      <c r="Y393">
        <f t="shared" si="77"/>
        <v>0</v>
      </c>
      <c r="Z393">
        <f t="shared" si="78"/>
        <v>0</v>
      </c>
      <c r="AA393" t="str">
        <f>INDEX('Priority activities'!$D$5:$D$86,MATCH('Database for analysis'!C393,'Priority activities'!$C$5:$C$86,0))</f>
        <v>Rural and underserved access to FP services</v>
      </c>
    </row>
    <row r="394" spans="2:27" ht="16.5" thickTop="1" thickBot="1" x14ac:dyDescent="0.3">
      <c r="B394" t="s">
        <v>195</v>
      </c>
      <c r="C394" s="22" t="str">
        <f>'Costing inputs'!$C$187</f>
        <v>Mini clinics pilot (SDA8.2)</v>
      </c>
      <c r="D394" s="22" t="str">
        <f>'Costing inputs'!$U$187</f>
        <v>Population</v>
      </c>
      <c r="E394" s="22" t="str">
        <f>'Regional splits'!$J$14</f>
        <v>North Western</v>
      </c>
      <c r="F394">
        <v>0</v>
      </c>
      <c r="G394">
        <v>2810.8184531352199</v>
      </c>
      <c r="H394">
        <v>2810.8184531352199</v>
      </c>
      <c r="I394">
        <v>2810.8184531352199</v>
      </c>
      <c r="J394">
        <v>0</v>
      </c>
      <c r="K394">
        <v>0</v>
      </c>
      <c r="L394">
        <v>0</v>
      </c>
      <c r="M394">
        <v>0</v>
      </c>
      <c r="N394">
        <v>0</v>
      </c>
      <c r="O394">
        <v>0</v>
      </c>
      <c r="P394" s="5">
        <f t="shared" si="68"/>
        <v>8432.4553594056597</v>
      </c>
      <c r="Q394">
        <f t="shared" si="69"/>
        <v>0</v>
      </c>
      <c r="R394">
        <f t="shared" si="70"/>
        <v>2810.8184531352199</v>
      </c>
      <c r="S394">
        <f t="shared" si="71"/>
        <v>2810.8184531352199</v>
      </c>
      <c r="T394">
        <f t="shared" si="72"/>
        <v>2810.8184531352199</v>
      </c>
      <c r="U394">
        <f t="shared" si="73"/>
        <v>0</v>
      </c>
      <c r="V394">
        <f t="shared" si="74"/>
        <v>0</v>
      </c>
      <c r="W394">
        <f t="shared" si="75"/>
        <v>0</v>
      </c>
      <c r="X394">
        <f t="shared" si="76"/>
        <v>0</v>
      </c>
      <c r="Y394">
        <f t="shared" si="77"/>
        <v>0</v>
      </c>
      <c r="Z394">
        <f t="shared" si="78"/>
        <v>0</v>
      </c>
      <c r="AA394" t="str">
        <f>INDEX('Priority activities'!$D$5:$D$86,MATCH('Database for analysis'!C394,'Priority activities'!$C$5:$C$86,0))</f>
        <v>Rural and underserved access to FP services</v>
      </c>
    </row>
    <row r="395" spans="2:27" ht="16.5" thickTop="1" thickBot="1" x14ac:dyDescent="0.3">
      <c r="B395" t="s">
        <v>195</v>
      </c>
      <c r="C395" s="22" t="str">
        <f>'Costing inputs'!$C$187</f>
        <v>Mini clinics pilot (SDA8.2)</v>
      </c>
      <c r="D395" s="22" t="str">
        <f>'Costing inputs'!$U$187</f>
        <v>Population</v>
      </c>
      <c r="E395" s="22" t="str">
        <f>'Regional splits'!$K$14</f>
        <v>Southern</v>
      </c>
      <c r="F395">
        <v>0</v>
      </c>
      <c r="G395">
        <v>6392.9884618967471</v>
      </c>
      <c r="H395">
        <v>6392.9884618967471</v>
      </c>
      <c r="I395">
        <v>6392.9884618967471</v>
      </c>
      <c r="J395">
        <v>0</v>
      </c>
      <c r="K395">
        <v>0</v>
      </c>
      <c r="L395">
        <v>0</v>
      </c>
      <c r="M395">
        <v>0</v>
      </c>
      <c r="N395">
        <v>0</v>
      </c>
      <c r="O395">
        <v>0</v>
      </c>
      <c r="P395" s="5">
        <f t="shared" si="68"/>
        <v>19178.965385690241</v>
      </c>
      <c r="Q395">
        <f t="shared" si="69"/>
        <v>0</v>
      </c>
      <c r="R395">
        <f t="shared" si="70"/>
        <v>6392.9884618967471</v>
      </c>
      <c r="S395">
        <f t="shared" si="71"/>
        <v>6392.9884618967471</v>
      </c>
      <c r="T395">
        <f t="shared" si="72"/>
        <v>6392.9884618967471</v>
      </c>
      <c r="U395">
        <f t="shared" si="73"/>
        <v>0</v>
      </c>
      <c r="V395">
        <f t="shared" si="74"/>
        <v>0</v>
      </c>
      <c r="W395">
        <f t="shared" si="75"/>
        <v>0</v>
      </c>
      <c r="X395">
        <f t="shared" si="76"/>
        <v>0</v>
      </c>
      <c r="Y395">
        <f t="shared" si="77"/>
        <v>0</v>
      </c>
      <c r="Z395">
        <f t="shared" si="78"/>
        <v>0</v>
      </c>
      <c r="AA395" t="str">
        <f>INDEX('Priority activities'!$D$5:$D$86,MATCH('Database for analysis'!C395,'Priority activities'!$C$5:$C$86,0))</f>
        <v>Rural and underserved access to FP services</v>
      </c>
    </row>
    <row r="396" spans="2:27" ht="16.5" thickTop="1" thickBot="1" x14ac:dyDescent="0.3">
      <c r="B396" t="s">
        <v>195</v>
      </c>
      <c r="C396" s="22" t="str">
        <f>'Costing inputs'!$C$187</f>
        <v>Mini clinics pilot (SDA8.2)</v>
      </c>
      <c r="D396" s="22" t="str">
        <f>'Costing inputs'!$U$187</f>
        <v>Population</v>
      </c>
      <c r="E396" s="22" t="str">
        <f>'Regional splits'!$L$14</f>
        <v>Western</v>
      </c>
      <c r="F396">
        <v>0</v>
      </c>
      <c r="G396">
        <v>3507.3421161811557</v>
      </c>
      <c r="H396">
        <v>3507.3421161811557</v>
      </c>
      <c r="I396">
        <v>3507.3421161811557</v>
      </c>
      <c r="J396">
        <v>0</v>
      </c>
      <c r="K396">
        <v>0</v>
      </c>
      <c r="L396">
        <v>0</v>
      </c>
      <c r="M396">
        <v>0</v>
      </c>
      <c r="N396">
        <v>0</v>
      </c>
      <c r="O396">
        <v>0</v>
      </c>
      <c r="P396" s="5">
        <f t="shared" si="68"/>
        <v>10522.026348543466</v>
      </c>
      <c r="Q396">
        <f t="shared" si="69"/>
        <v>0</v>
      </c>
      <c r="R396">
        <f t="shared" si="70"/>
        <v>3507.3421161811557</v>
      </c>
      <c r="S396">
        <f t="shared" si="71"/>
        <v>3507.3421161811557</v>
      </c>
      <c r="T396">
        <f t="shared" si="72"/>
        <v>3507.3421161811557</v>
      </c>
      <c r="U396">
        <f t="shared" si="73"/>
        <v>0</v>
      </c>
      <c r="V396">
        <f t="shared" si="74"/>
        <v>0</v>
      </c>
      <c r="W396">
        <f t="shared" si="75"/>
        <v>0</v>
      </c>
      <c r="X396">
        <f t="shared" si="76"/>
        <v>0</v>
      </c>
      <c r="Y396">
        <f t="shared" si="77"/>
        <v>0</v>
      </c>
      <c r="Z396">
        <f t="shared" si="78"/>
        <v>0</v>
      </c>
      <c r="AA396" t="str">
        <f>INDEX('Priority activities'!$D$5:$D$86,MATCH('Database for analysis'!C396,'Priority activities'!$C$5:$C$86,0))</f>
        <v>Rural and underserved access to FP services</v>
      </c>
    </row>
    <row r="397" spans="2:27" ht="16.5" thickTop="1" thickBot="1" x14ac:dyDescent="0.3">
      <c r="B397" t="s">
        <v>195</v>
      </c>
      <c r="C397" s="22" t="str">
        <f>'Costing inputs'!$C$187</f>
        <v>Mini clinics pilot (SDA8.2)</v>
      </c>
      <c r="D397" s="22" t="str">
        <f>'Costing inputs'!$U$187</f>
        <v>Population</v>
      </c>
      <c r="E397" s="22">
        <f>'Regional splits'!$M$14</f>
        <v>0</v>
      </c>
      <c r="F397">
        <v>0</v>
      </c>
      <c r="G397">
        <v>0</v>
      </c>
      <c r="H397">
        <v>0</v>
      </c>
      <c r="I397">
        <v>0</v>
      </c>
      <c r="J397">
        <v>0</v>
      </c>
      <c r="K397">
        <v>0</v>
      </c>
      <c r="L397">
        <v>0</v>
      </c>
      <c r="M397">
        <v>0</v>
      </c>
      <c r="N397">
        <v>0</v>
      </c>
      <c r="O397">
        <v>0</v>
      </c>
      <c r="P397" s="5">
        <f t="shared" si="68"/>
        <v>0</v>
      </c>
      <c r="Q397">
        <f t="shared" si="69"/>
        <v>0</v>
      </c>
      <c r="R397">
        <f t="shared" si="70"/>
        <v>0</v>
      </c>
      <c r="S397">
        <f t="shared" si="71"/>
        <v>0</v>
      </c>
      <c r="T397">
        <f t="shared" si="72"/>
        <v>0</v>
      </c>
      <c r="U397">
        <f t="shared" si="73"/>
        <v>0</v>
      </c>
      <c r="V397">
        <f t="shared" si="74"/>
        <v>0</v>
      </c>
      <c r="W397">
        <f t="shared" si="75"/>
        <v>0</v>
      </c>
      <c r="X397">
        <f t="shared" si="76"/>
        <v>0</v>
      </c>
      <c r="Y397">
        <f t="shared" si="77"/>
        <v>0</v>
      </c>
      <c r="Z397">
        <f t="shared" si="78"/>
        <v>0</v>
      </c>
      <c r="AA397" t="str">
        <f>INDEX('Priority activities'!$D$5:$D$86,MATCH('Database for analysis'!C397,'Priority activities'!$C$5:$C$86,0))</f>
        <v>Rural and underserved access to FP services</v>
      </c>
    </row>
    <row r="398" spans="2:27" ht="16.5" thickTop="1" thickBot="1" x14ac:dyDescent="0.3">
      <c r="B398" t="s">
        <v>195</v>
      </c>
      <c r="C398" s="22" t="str">
        <f>'Costing inputs'!$C$187</f>
        <v>Mini clinics pilot (SDA8.2)</v>
      </c>
      <c r="D398" s="22" t="str">
        <f>'Costing inputs'!$U$187</f>
        <v>Population</v>
      </c>
      <c r="E398" s="22">
        <f>'Regional splits'!$N$14</f>
        <v>0</v>
      </c>
      <c r="F398">
        <v>0</v>
      </c>
      <c r="G398">
        <v>0</v>
      </c>
      <c r="H398">
        <v>0</v>
      </c>
      <c r="I398">
        <v>0</v>
      </c>
      <c r="J398">
        <v>0</v>
      </c>
      <c r="K398">
        <v>0</v>
      </c>
      <c r="L398">
        <v>0</v>
      </c>
      <c r="M398">
        <v>0</v>
      </c>
      <c r="N398">
        <v>0</v>
      </c>
      <c r="O398">
        <v>0</v>
      </c>
      <c r="P398" s="5">
        <f t="shared" si="68"/>
        <v>0</v>
      </c>
      <c r="Q398">
        <f t="shared" si="69"/>
        <v>0</v>
      </c>
      <c r="R398">
        <f t="shared" si="70"/>
        <v>0</v>
      </c>
      <c r="S398">
        <f t="shared" si="71"/>
        <v>0</v>
      </c>
      <c r="T398">
        <f t="shared" si="72"/>
        <v>0</v>
      </c>
      <c r="U398">
        <f t="shared" si="73"/>
        <v>0</v>
      </c>
      <c r="V398">
        <f t="shared" si="74"/>
        <v>0</v>
      </c>
      <c r="W398">
        <f t="shared" si="75"/>
        <v>0</v>
      </c>
      <c r="X398">
        <f t="shared" si="76"/>
        <v>0</v>
      </c>
      <c r="Y398">
        <f t="shared" si="77"/>
        <v>0</v>
      </c>
      <c r="Z398">
        <f t="shared" si="78"/>
        <v>0</v>
      </c>
      <c r="AA398" t="str">
        <f>INDEX('Priority activities'!$D$5:$D$86,MATCH('Database for analysis'!C398,'Priority activities'!$C$5:$C$86,0))</f>
        <v>Rural and underserved access to FP services</v>
      </c>
    </row>
    <row r="399" spans="2:27" ht="16.5" thickTop="1" thickBot="1" x14ac:dyDescent="0.3">
      <c r="B399" t="s">
        <v>195</v>
      </c>
      <c r="C399" s="22" t="str">
        <f>'Costing inputs'!$C$187</f>
        <v>Mini clinics pilot (SDA8.2)</v>
      </c>
      <c r="D399" s="22" t="str">
        <f>'Costing inputs'!$U$187</f>
        <v>Population</v>
      </c>
      <c r="E399" s="22">
        <f>'Regional splits'!$O$14</f>
        <v>0</v>
      </c>
      <c r="F399">
        <v>0</v>
      </c>
      <c r="G399">
        <v>0</v>
      </c>
      <c r="H399">
        <v>0</v>
      </c>
      <c r="I399">
        <v>0</v>
      </c>
      <c r="J399">
        <v>0</v>
      </c>
      <c r="K399">
        <v>0</v>
      </c>
      <c r="L399">
        <v>0</v>
      </c>
      <c r="M399">
        <v>0</v>
      </c>
      <c r="N399">
        <v>0</v>
      </c>
      <c r="O399">
        <v>0</v>
      </c>
      <c r="P399" s="5">
        <f t="shared" si="68"/>
        <v>0</v>
      </c>
      <c r="Q399">
        <f t="shared" si="69"/>
        <v>0</v>
      </c>
      <c r="R399">
        <f t="shared" si="70"/>
        <v>0</v>
      </c>
      <c r="S399">
        <f t="shared" si="71"/>
        <v>0</v>
      </c>
      <c r="T399">
        <f t="shared" si="72"/>
        <v>0</v>
      </c>
      <c r="U399">
        <f t="shared" si="73"/>
        <v>0</v>
      </c>
      <c r="V399">
        <f t="shared" si="74"/>
        <v>0</v>
      </c>
      <c r="W399">
        <f t="shared" si="75"/>
        <v>0</v>
      </c>
      <c r="X399">
        <f t="shared" si="76"/>
        <v>0</v>
      </c>
      <c r="Y399">
        <f t="shared" si="77"/>
        <v>0</v>
      </c>
      <c r="Z399">
        <f t="shared" si="78"/>
        <v>0</v>
      </c>
      <c r="AA399" t="str">
        <f>INDEX('Priority activities'!$D$5:$D$86,MATCH('Database for analysis'!C399,'Priority activities'!$C$5:$C$86,0))</f>
        <v>Rural and underserved access to FP services</v>
      </c>
    </row>
    <row r="400" spans="2:27" ht="16.5" thickTop="1" thickBot="1" x14ac:dyDescent="0.3">
      <c r="B400" t="s">
        <v>195</v>
      </c>
      <c r="C400" s="22" t="str">
        <f>'Costing inputs'!$C$187</f>
        <v>Mini clinics pilot (SDA8.2)</v>
      </c>
      <c r="D400" s="22" t="str">
        <f>'Costing inputs'!$U$187</f>
        <v>Population</v>
      </c>
      <c r="E400" s="22">
        <f>'Regional splits'!$P$14</f>
        <v>0</v>
      </c>
      <c r="F400">
        <v>0</v>
      </c>
      <c r="G400">
        <v>0</v>
      </c>
      <c r="H400">
        <v>0</v>
      </c>
      <c r="I400">
        <v>0</v>
      </c>
      <c r="J400">
        <v>0</v>
      </c>
      <c r="K400">
        <v>0</v>
      </c>
      <c r="L400">
        <v>0</v>
      </c>
      <c r="M400">
        <v>0</v>
      </c>
      <c r="N400">
        <v>0</v>
      </c>
      <c r="O400">
        <v>0</v>
      </c>
      <c r="P400" s="5">
        <f t="shared" si="68"/>
        <v>0</v>
      </c>
      <c r="Q400">
        <f t="shared" si="69"/>
        <v>0</v>
      </c>
      <c r="R400">
        <f t="shared" si="70"/>
        <v>0</v>
      </c>
      <c r="S400">
        <f t="shared" si="71"/>
        <v>0</v>
      </c>
      <c r="T400">
        <f t="shared" si="72"/>
        <v>0</v>
      </c>
      <c r="U400">
        <f t="shared" si="73"/>
        <v>0</v>
      </c>
      <c r="V400">
        <f t="shared" si="74"/>
        <v>0</v>
      </c>
      <c r="W400">
        <f t="shared" si="75"/>
        <v>0</v>
      </c>
      <c r="X400">
        <f t="shared" si="76"/>
        <v>0</v>
      </c>
      <c r="Y400">
        <f t="shared" si="77"/>
        <v>0</v>
      </c>
      <c r="Z400">
        <f t="shared" si="78"/>
        <v>0</v>
      </c>
      <c r="AA400" t="str">
        <f>INDEX('Priority activities'!$D$5:$D$86,MATCH('Database for analysis'!C400,'Priority activities'!$C$5:$C$86,0))</f>
        <v>Rural and underserved access to FP services</v>
      </c>
    </row>
    <row r="401" spans="2:27" ht="16.5" thickTop="1" thickBot="1" x14ac:dyDescent="0.3">
      <c r="B401" t="s">
        <v>195</v>
      </c>
      <c r="C401" s="22" t="str">
        <f>'Costing inputs'!$C$187</f>
        <v>Mini clinics pilot (SDA8.2)</v>
      </c>
      <c r="D401" s="22" t="str">
        <f>'Costing inputs'!$U$187</f>
        <v>Population</v>
      </c>
      <c r="E401" s="22">
        <f>'Regional splits'!$Q$14</f>
        <v>0</v>
      </c>
      <c r="F401">
        <v>0</v>
      </c>
      <c r="G401">
        <v>0</v>
      </c>
      <c r="H401">
        <v>0</v>
      </c>
      <c r="I401">
        <v>0</v>
      </c>
      <c r="J401">
        <v>0</v>
      </c>
      <c r="K401">
        <v>0</v>
      </c>
      <c r="L401">
        <v>0</v>
      </c>
      <c r="M401">
        <v>0</v>
      </c>
      <c r="N401">
        <v>0</v>
      </c>
      <c r="O401">
        <v>0</v>
      </c>
      <c r="P401" s="5">
        <f t="shared" si="68"/>
        <v>0</v>
      </c>
      <c r="Q401">
        <f t="shared" si="69"/>
        <v>0</v>
      </c>
      <c r="R401">
        <f t="shared" si="70"/>
        <v>0</v>
      </c>
      <c r="S401">
        <f t="shared" si="71"/>
        <v>0</v>
      </c>
      <c r="T401">
        <f t="shared" si="72"/>
        <v>0</v>
      </c>
      <c r="U401">
        <f t="shared" si="73"/>
        <v>0</v>
      </c>
      <c r="V401">
        <f t="shared" si="74"/>
        <v>0</v>
      </c>
      <c r="W401">
        <f t="shared" si="75"/>
        <v>0</v>
      </c>
      <c r="X401">
        <f t="shared" si="76"/>
        <v>0</v>
      </c>
      <c r="Y401">
        <f t="shared" si="77"/>
        <v>0</v>
      </c>
      <c r="Z401">
        <f t="shared" si="78"/>
        <v>0</v>
      </c>
      <c r="AA401" t="str">
        <f>INDEX('Priority activities'!$D$5:$D$86,MATCH('Database for analysis'!C401,'Priority activities'!$C$5:$C$86,0))</f>
        <v>Rural and underserved access to FP services</v>
      </c>
    </row>
    <row r="402" spans="2:27" ht="16.5" thickTop="1" thickBot="1" x14ac:dyDescent="0.3">
      <c r="B402" t="s">
        <v>195</v>
      </c>
      <c r="C402" s="22" t="str">
        <f>'Costing inputs'!$C$187</f>
        <v>Mini clinics pilot (SDA8.2)</v>
      </c>
      <c r="D402" s="22" t="str">
        <f>'Costing inputs'!$U$187</f>
        <v>Population</v>
      </c>
      <c r="E402" s="22" t="str">
        <f>'Regional splits'!$R$14</f>
        <v>National-level</v>
      </c>
      <c r="F402">
        <v>0</v>
      </c>
      <c r="G402">
        <v>0</v>
      </c>
      <c r="H402">
        <v>0</v>
      </c>
      <c r="I402">
        <v>0</v>
      </c>
      <c r="J402">
        <v>0</v>
      </c>
      <c r="K402">
        <v>0</v>
      </c>
      <c r="L402">
        <v>0</v>
      </c>
      <c r="M402">
        <v>0</v>
      </c>
      <c r="N402">
        <v>0</v>
      </c>
      <c r="O402">
        <v>0</v>
      </c>
      <c r="P402" s="5">
        <f t="shared" si="68"/>
        <v>0</v>
      </c>
      <c r="Q402">
        <f t="shared" si="69"/>
        <v>0</v>
      </c>
      <c r="R402">
        <f t="shared" si="70"/>
        <v>0</v>
      </c>
      <c r="S402">
        <f t="shared" si="71"/>
        <v>0</v>
      </c>
      <c r="T402">
        <f t="shared" si="72"/>
        <v>0</v>
      </c>
      <c r="U402">
        <f t="shared" si="73"/>
        <v>0</v>
      </c>
      <c r="V402">
        <f t="shared" si="74"/>
        <v>0</v>
      </c>
      <c r="W402">
        <f t="shared" si="75"/>
        <v>0</v>
      </c>
      <c r="X402">
        <f t="shared" si="76"/>
        <v>0</v>
      </c>
      <c r="Y402">
        <f t="shared" si="77"/>
        <v>0</v>
      </c>
      <c r="Z402">
        <f t="shared" si="78"/>
        <v>0</v>
      </c>
      <c r="AA402" t="str">
        <f>INDEX('Priority activities'!$D$5:$D$86,MATCH('Database for analysis'!C402,'Priority activities'!$C$5:$C$86,0))</f>
        <v>Rural and underserved access to FP services</v>
      </c>
    </row>
    <row r="403" spans="2:27" ht="16.5" thickTop="1" thickBot="1" x14ac:dyDescent="0.3">
      <c r="B403" t="s">
        <v>195</v>
      </c>
      <c r="C403" s="22" t="str">
        <f>'Costing inputs'!$C$192</f>
        <v>Training for CO's and MD's conducting BTLs (SDA.2.3)</v>
      </c>
      <c r="D403" s="22" t="str">
        <f>'Costing inputs'!$U$192</f>
        <v>Central level</v>
      </c>
      <c r="E403" s="22" t="str">
        <f>'Regional splits'!$C$14</f>
        <v>Central</v>
      </c>
      <c r="F403">
        <f t="array" ref="F403:O418">'Costing inputs'!S192*'Costing inputs'!AP192:AY192*TRANSPOSE('Costing inputs'!W192:AL192)</f>
        <v>0</v>
      </c>
      <c r="G403">
        <v>0</v>
      </c>
      <c r="H403">
        <v>0</v>
      </c>
      <c r="I403">
        <v>0</v>
      </c>
      <c r="J403">
        <v>0</v>
      </c>
      <c r="K403">
        <v>0</v>
      </c>
      <c r="L403">
        <v>0</v>
      </c>
      <c r="M403">
        <v>0</v>
      </c>
      <c r="N403">
        <v>0</v>
      </c>
      <c r="O403">
        <v>0</v>
      </c>
      <c r="P403" s="5">
        <f t="shared" si="68"/>
        <v>0</v>
      </c>
      <c r="Q403">
        <f t="shared" si="69"/>
        <v>0</v>
      </c>
      <c r="R403">
        <f t="shared" si="70"/>
        <v>0</v>
      </c>
      <c r="S403">
        <f t="shared" si="71"/>
        <v>0</v>
      </c>
      <c r="T403">
        <f t="shared" si="72"/>
        <v>0</v>
      </c>
      <c r="U403">
        <f t="shared" si="73"/>
        <v>0</v>
      </c>
      <c r="V403">
        <f t="shared" si="74"/>
        <v>0</v>
      </c>
      <c r="W403">
        <f t="shared" si="75"/>
        <v>0</v>
      </c>
      <c r="X403">
        <f t="shared" si="76"/>
        <v>0</v>
      </c>
      <c r="Y403">
        <f t="shared" si="77"/>
        <v>0</v>
      </c>
      <c r="Z403">
        <f t="shared" si="78"/>
        <v>0</v>
      </c>
      <c r="AA403" t="str">
        <f>INDEX('Priority activities'!$D$5:$D$86,MATCH('Database for analysis'!C403,'Priority activities'!$C$5:$C$86,0))</f>
        <v>n/a</v>
      </c>
    </row>
    <row r="404" spans="2:27" ht="16.5" thickTop="1" thickBot="1" x14ac:dyDescent="0.3">
      <c r="B404" t="s">
        <v>195</v>
      </c>
      <c r="C404" s="22" t="str">
        <f>'Costing inputs'!$C$192</f>
        <v>Training for CO's and MD's conducting BTLs (SDA.2.3)</v>
      </c>
      <c r="D404" s="22" t="str">
        <f>'Costing inputs'!$U$192</f>
        <v>Central level</v>
      </c>
      <c r="E404" s="22" t="str">
        <f>'Regional splits'!$D$14</f>
        <v>Copperbelt</v>
      </c>
      <c r="F404">
        <v>0</v>
      </c>
      <c r="G404">
        <v>0</v>
      </c>
      <c r="H404">
        <v>0</v>
      </c>
      <c r="I404">
        <v>0</v>
      </c>
      <c r="J404">
        <v>0</v>
      </c>
      <c r="K404">
        <v>0</v>
      </c>
      <c r="L404">
        <v>0</v>
      </c>
      <c r="M404">
        <v>0</v>
      </c>
      <c r="N404">
        <v>0</v>
      </c>
      <c r="O404">
        <v>0</v>
      </c>
      <c r="P404" s="5">
        <f t="shared" si="68"/>
        <v>0</v>
      </c>
      <c r="Q404">
        <f t="shared" si="69"/>
        <v>0</v>
      </c>
      <c r="R404">
        <f t="shared" si="70"/>
        <v>0</v>
      </c>
      <c r="S404">
        <f t="shared" si="71"/>
        <v>0</v>
      </c>
      <c r="T404">
        <f t="shared" si="72"/>
        <v>0</v>
      </c>
      <c r="U404">
        <f t="shared" si="73"/>
        <v>0</v>
      </c>
      <c r="V404">
        <f t="shared" si="74"/>
        <v>0</v>
      </c>
      <c r="W404">
        <f t="shared" si="75"/>
        <v>0</v>
      </c>
      <c r="X404">
        <f t="shared" si="76"/>
        <v>0</v>
      </c>
      <c r="Y404">
        <f t="shared" si="77"/>
        <v>0</v>
      </c>
      <c r="Z404">
        <f t="shared" si="78"/>
        <v>0</v>
      </c>
      <c r="AA404" t="str">
        <f>INDEX('Priority activities'!$D$5:$D$86,MATCH('Database for analysis'!C404,'Priority activities'!$C$5:$C$86,0))</f>
        <v>n/a</v>
      </c>
    </row>
    <row r="405" spans="2:27" ht="16.5" thickTop="1" thickBot="1" x14ac:dyDescent="0.3">
      <c r="B405" t="s">
        <v>195</v>
      </c>
      <c r="C405" s="22" t="str">
        <f>'Costing inputs'!$C$192</f>
        <v>Training for CO's and MD's conducting BTLs (SDA.2.3)</v>
      </c>
      <c r="D405" s="22" t="str">
        <f>'Costing inputs'!$U$192</f>
        <v>Central level</v>
      </c>
      <c r="E405" s="22" t="str">
        <f>'Regional splits'!$E$14</f>
        <v>Eastern</v>
      </c>
      <c r="F405">
        <v>0</v>
      </c>
      <c r="G405">
        <v>0</v>
      </c>
      <c r="H405">
        <v>0</v>
      </c>
      <c r="I405">
        <v>0</v>
      </c>
      <c r="J405">
        <v>0</v>
      </c>
      <c r="K405">
        <v>0</v>
      </c>
      <c r="L405">
        <v>0</v>
      </c>
      <c r="M405">
        <v>0</v>
      </c>
      <c r="N405">
        <v>0</v>
      </c>
      <c r="O405">
        <v>0</v>
      </c>
      <c r="P405" s="5">
        <f t="shared" si="68"/>
        <v>0</v>
      </c>
      <c r="Q405">
        <f t="shared" si="69"/>
        <v>0</v>
      </c>
      <c r="R405">
        <f t="shared" si="70"/>
        <v>0</v>
      </c>
      <c r="S405">
        <f t="shared" si="71"/>
        <v>0</v>
      </c>
      <c r="T405">
        <f t="shared" si="72"/>
        <v>0</v>
      </c>
      <c r="U405">
        <f t="shared" si="73"/>
        <v>0</v>
      </c>
      <c r="V405">
        <f t="shared" si="74"/>
        <v>0</v>
      </c>
      <c r="W405">
        <f t="shared" si="75"/>
        <v>0</v>
      </c>
      <c r="X405">
        <f t="shared" si="76"/>
        <v>0</v>
      </c>
      <c r="Y405">
        <f t="shared" si="77"/>
        <v>0</v>
      </c>
      <c r="Z405">
        <f t="shared" si="78"/>
        <v>0</v>
      </c>
      <c r="AA405" t="str">
        <f>INDEX('Priority activities'!$D$5:$D$86,MATCH('Database for analysis'!C405,'Priority activities'!$C$5:$C$86,0))</f>
        <v>n/a</v>
      </c>
    </row>
    <row r="406" spans="2:27" ht="16.5" thickTop="1" thickBot="1" x14ac:dyDescent="0.3">
      <c r="B406" t="s">
        <v>195</v>
      </c>
      <c r="C406" s="22" t="str">
        <f>'Costing inputs'!$C$192</f>
        <v>Training for CO's and MD's conducting BTLs (SDA.2.3)</v>
      </c>
      <c r="D406" s="22" t="str">
        <f>'Costing inputs'!$U$192</f>
        <v>Central level</v>
      </c>
      <c r="E406" s="22" t="str">
        <f>'Regional splits'!$F$14</f>
        <v>Luapula</v>
      </c>
      <c r="F406">
        <v>0</v>
      </c>
      <c r="G406">
        <v>0</v>
      </c>
      <c r="H406">
        <v>0</v>
      </c>
      <c r="I406">
        <v>0</v>
      </c>
      <c r="J406">
        <v>0</v>
      </c>
      <c r="K406">
        <v>0</v>
      </c>
      <c r="L406">
        <v>0</v>
      </c>
      <c r="M406">
        <v>0</v>
      </c>
      <c r="N406">
        <v>0</v>
      </c>
      <c r="O406">
        <v>0</v>
      </c>
      <c r="P406" s="5">
        <f t="shared" si="68"/>
        <v>0</v>
      </c>
      <c r="Q406">
        <f t="shared" si="69"/>
        <v>0</v>
      </c>
      <c r="R406">
        <f t="shared" si="70"/>
        <v>0</v>
      </c>
      <c r="S406">
        <f t="shared" si="71"/>
        <v>0</v>
      </c>
      <c r="T406">
        <f t="shared" si="72"/>
        <v>0</v>
      </c>
      <c r="U406">
        <f t="shared" si="73"/>
        <v>0</v>
      </c>
      <c r="V406">
        <f t="shared" si="74"/>
        <v>0</v>
      </c>
      <c r="W406">
        <f t="shared" si="75"/>
        <v>0</v>
      </c>
      <c r="X406">
        <f t="shared" si="76"/>
        <v>0</v>
      </c>
      <c r="Y406">
        <f t="shared" si="77"/>
        <v>0</v>
      </c>
      <c r="Z406">
        <f t="shared" si="78"/>
        <v>0</v>
      </c>
      <c r="AA406" t="str">
        <f>INDEX('Priority activities'!$D$5:$D$86,MATCH('Database for analysis'!C406,'Priority activities'!$C$5:$C$86,0))</f>
        <v>n/a</v>
      </c>
    </row>
    <row r="407" spans="2:27" ht="16.5" thickTop="1" thickBot="1" x14ac:dyDescent="0.3">
      <c r="B407" t="s">
        <v>195</v>
      </c>
      <c r="C407" s="22" t="str">
        <f>'Costing inputs'!$C$192</f>
        <v>Training for CO's and MD's conducting BTLs (SDA.2.3)</v>
      </c>
      <c r="D407" s="22" t="str">
        <f>'Costing inputs'!$U$192</f>
        <v>Central level</v>
      </c>
      <c r="E407" s="22" t="str">
        <f>'Regional splits'!$G$14</f>
        <v>Lusaka</v>
      </c>
      <c r="F407">
        <v>0</v>
      </c>
      <c r="G407">
        <v>0</v>
      </c>
      <c r="H407">
        <v>0</v>
      </c>
      <c r="I407">
        <v>0</v>
      </c>
      <c r="J407">
        <v>0</v>
      </c>
      <c r="K407">
        <v>0</v>
      </c>
      <c r="L407">
        <v>0</v>
      </c>
      <c r="M407">
        <v>0</v>
      </c>
      <c r="N407">
        <v>0</v>
      </c>
      <c r="O407">
        <v>0</v>
      </c>
      <c r="P407" s="5">
        <f t="shared" si="68"/>
        <v>0</v>
      </c>
      <c r="Q407">
        <f t="shared" si="69"/>
        <v>0</v>
      </c>
      <c r="R407">
        <f t="shared" si="70"/>
        <v>0</v>
      </c>
      <c r="S407">
        <f t="shared" si="71"/>
        <v>0</v>
      </c>
      <c r="T407">
        <f t="shared" si="72"/>
        <v>0</v>
      </c>
      <c r="U407">
        <f t="shared" si="73"/>
        <v>0</v>
      </c>
      <c r="V407">
        <f t="shared" si="74"/>
        <v>0</v>
      </c>
      <c r="W407">
        <f t="shared" si="75"/>
        <v>0</v>
      </c>
      <c r="X407">
        <f t="shared" si="76"/>
        <v>0</v>
      </c>
      <c r="Y407">
        <f t="shared" si="77"/>
        <v>0</v>
      </c>
      <c r="Z407">
        <f t="shared" si="78"/>
        <v>0</v>
      </c>
      <c r="AA407" t="str">
        <f>INDEX('Priority activities'!$D$5:$D$86,MATCH('Database for analysis'!C407,'Priority activities'!$C$5:$C$86,0))</f>
        <v>n/a</v>
      </c>
    </row>
    <row r="408" spans="2:27" ht="16.5" thickTop="1" thickBot="1" x14ac:dyDescent="0.3">
      <c r="B408" t="s">
        <v>195</v>
      </c>
      <c r="C408" s="22" t="str">
        <f>'Costing inputs'!$C$192</f>
        <v>Training for CO's and MD's conducting BTLs (SDA.2.3)</v>
      </c>
      <c r="D408" s="22" t="str">
        <f>'Costing inputs'!$U$192</f>
        <v>Central level</v>
      </c>
      <c r="E408" s="22" t="str">
        <f>'Regional splits'!$H$14</f>
        <v>Muchinga</v>
      </c>
      <c r="F408">
        <v>0</v>
      </c>
      <c r="G408">
        <v>0</v>
      </c>
      <c r="H408">
        <v>0</v>
      </c>
      <c r="I408">
        <v>0</v>
      </c>
      <c r="J408">
        <v>0</v>
      </c>
      <c r="K408">
        <v>0</v>
      </c>
      <c r="L408">
        <v>0</v>
      </c>
      <c r="M408">
        <v>0</v>
      </c>
      <c r="N408">
        <v>0</v>
      </c>
      <c r="O408">
        <v>0</v>
      </c>
      <c r="P408" s="5">
        <f t="shared" si="68"/>
        <v>0</v>
      </c>
      <c r="Q408">
        <f t="shared" si="69"/>
        <v>0</v>
      </c>
      <c r="R408">
        <f t="shared" si="70"/>
        <v>0</v>
      </c>
      <c r="S408">
        <f t="shared" si="71"/>
        <v>0</v>
      </c>
      <c r="T408">
        <f t="shared" si="72"/>
        <v>0</v>
      </c>
      <c r="U408">
        <f t="shared" si="73"/>
        <v>0</v>
      </c>
      <c r="V408">
        <f t="shared" si="74"/>
        <v>0</v>
      </c>
      <c r="W408">
        <f t="shared" si="75"/>
        <v>0</v>
      </c>
      <c r="X408">
        <f t="shared" si="76"/>
        <v>0</v>
      </c>
      <c r="Y408">
        <f t="shared" si="77"/>
        <v>0</v>
      </c>
      <c r="Z408">
        <f t="shared" si="78"/>
        <v>0</v>
      </c>
      <c r="AA408" t="str">
        <f>INDEX('Priority activities'!$D$5:$D$86,MATCH('Database for analysis'!C408,'Priority activities'!$C$5:$C$86,0))</f>
        <v>n/a</v>
      </c>
    </row>
    <row r="409" spans="2:27" ht="16.5" thickTop="1" thickBot="1" x14ac:dyDescent="0.3">
      <c r="B409" t="s">
        <v>195</v>
      </c>
      <c r="C409" s="22" t="str">
        <f>'Costing inputs'!$C$192</f>
        <v>Training for CO's and MD's conducting BTLs (SDA.2.3)</v>
      </c>
      <c r="D409" s="22" t="str">
        <f>'Costing inputs'!$U$192</f>
        <v>Central level</v>
      </c>
      <c r="E409" s="22" t="str">
        <f>'Regional splits'!$I$14</f>
        <v>Northern</v>
      </c>
      <c r="F409">
        <v>0</v>
      </c>
      <c r="G409">
        <v>0</v>
      </c>
      <c r="H409">
        <v>0</v>
      </c>
      <c r="I409">
        <v>0</v>
      </c>
      <c r="J409">
        <v>0</v>
      </c>
      <c r="K409">
        <v>0</v>
      </c>
      <c r="L409">
        <v>0</v>
      </c>
      <c r="M409">
        <v>0</v>
      </c>
      <c r="N409">
        <v>0</v>
      </c>
      <c r="O409">
        <v>0</v>
      </c>
      <c r="P409" s="5">
        <f t="shared" si="68"/>
        <v>0</v>
      </c>
      <c r="Q409">
        <f t="shared" si="69"/>
        <v>0</v>
      </c>
      <c r="R409">
        <f t="shared" si="70"/>
        <v>0</v>
      </c>
      <c r="S409">
        <f t="shared" si="71"/>
        <v>0</v>
      </c>
      <c r="T409">
        <f t="shared" si="72"/>
        <v>0</v>
      </c>
      <c r="U409">
        <f t="shared" si="73"/>
        <v>0</v>
      </c>
      <c r="V409">
        <f t="shared" si="74"/>
        <v>0</v>
      </c>
      <c r="W409">
        <f t="shared" si="75"/>
        <v>0</v>
      </c>
      <c r="X409">
        <f t="shared" si="76"/>
        <v>0</v>
      </c>
      <c r="Y409">
        <f t="shared" si="77"/>
        <v>0</v>
      </c>
      <c r="Z409">
        <f t="shared" si="78"/>
        <v>0</v>
      </c>
      <c r="AA409" t="str">
        <f>INDEX('Priority activities'!$D$5:$D$86,MATCH('Database for analysis'!C409,'Priority activities'!$C$5:$C$86,0))</f>
        <v>n/a</v>
      </c>
    </row>
    <row r="410" spans="2:27" ht="16.5" thickTop="1" thickBot="1" x14ac:dyDescent="0.3">
      <c r="B410" t="s">
        <v>195</v>
      </c>
      <c r="C410" s="22" t="str">
        <f>'Costing inputs'!$C$192</f>
        <v>Training for CO's and MD's conducting BTLs (SDA.2.3)</v>
      </c>
      <c r="D410" s="22" t="str">
        <f>'Costing inputs'!$U$192</f>
        <v>Central level</v>
      </c>
      <c r="E410" s="22" t="str">
        <f>'Regional splits'!$J$14</f>
        <v>North Western</v>
      </c>
      <c r="F410">
        <v>0</v>
      </c>
      <c r="G410">
        <v>0</v>
      </c>
      <c r="H410">
        <v>0</v>
      </c>
      <c r="I410">
        <v>0</v>
      </c>
      <c r="J410">
        <v>0</v>
      </c>
      <c r="K410">
        <v>0</v>
      </c>
      <c r="L410">
        <v>0</v>
      </c>
      <c r="M410">
        <v>0</v>
      </c>
      <c r="N410">
        <v>0</v>
      </c>
      <c r="O410">
        <v>0</v>
      </c>
      <c r="P410" s="5">
        <f t="shared" si="68"/>
        <v>0</v>
      </c>
      <c r="Q410">
        <f t="shared" si="69"/>
        <v>0</v>
      </c>
      <c r="R410">
        <f t="shared" si="70"/>
        <v>0</v>
      </c>
      <c r="S410">
        <f t="shared" si="71"/>
        <v>0</v>
      </c>
      <c r="T410">
        <f t="shared" si="72"/>
        <v>0</v>
      </c>
      <c r="U410">
        <f t="shared" si="73"/>
        <v>0</v>
      </c>
      <c r="V410">
        <f t="shared" si="74"/>
        <v>0</v>
      </c>
      <c r="W410">
        <f t="shared" si="75"/>
        <v>0</v>
      </c>
      <c r="X410">
        <f t="shared" si="76"/>
        <v>0</v>
      </c>
      <c r="Y410">
        <f t="shared" si="77"/>
        <v>0</v>
      </c>
      <c r="Z410">
        <f t="shared" si="78"/>
        <v>0</v>
      </c>
      <c r="AA410" t="str">
        <f>INDEX('Priority activities'!$D$5:$D$86,MATCH('Database for analysis'!C410,'Priority activities'!$C$5:$C$86,0))</f>
        <v>n/a</v>
      </c>
    </row>
    <row r="411" spans="2:27" ht="16.5" thickTop="1" thickBot="1" x14ac:dyDescent="0.3">
      <c r="B411" t="s">
        <v>195</v>
      </c>
      <c r="C411" s="22" t="str">
        <f>'Costing inputs'!$C$192</f>
        <v>Training for CO's and MD's conducting BTLs (SDA.2.3)</v>
      </c>
      <c r="D411" s="22" t="str">
        <f>'Costing inputs'!$U$192</f>
        <v>Central level</v>
      </c>
      <c r="E411" s="22" t="str">
        <f>'Regional splits'!$K$14</f>
        <v>Southern</v>
      </c>
      <c r="F411">
        <v>0</v>
      </c>
      <c r="G411">
        <v>0</v>
      </c>
      <c r="H411">
        <v>0</v>
      </c>
      <c r="I411">
        <v>0</v>
      </c>
      <c r="J411">
        <v>0</v>
      </c>
      <c r="K411">
        <v>0</v>
      </c>
      <c r="L411">
        <v>0</v>
      </c>
      <c r="M411">
        <v>0</v>
      </c>
      <c r="N411">
        <v>0</v>
      </c>
      <c r="O411">
        <v>0</v>
      </c>
      <c r="P411" s="5">
        <f t="shared" si="68"/>
        <v>0</v>
      </c>
      <c r="Q411">
        <f t="shared" si="69"/>
        <v>0</v>
      </c>
      <c r="R411">
        <f t="shared" si="70"/>
        <v>0</v>
      </c>
      <c r="S411">
        <f t="shared" si="71"/>
        <v>0</v>
      </c>
      <c r="T411">
        <f t="shared" si="72"/>
        <v>0</v>
      </c>
      <c r="U411">
        <f t="shared" si="73"/>
        <v>0</v>
      </c>
      <c r="V411">
        <f t="shared" si="74"/>
        <v>0</v>
      </c>
      <c r="W411">
        <f t="shared" si="75"/>
        <v>0</v>
      </c>
      <c r="X411">
        <f t="shared" si="76"/>
        <v>0</v>
      </c>
      <c r="Y411">
        <f t="shared" si="77"/>
        <v>0</v>
      </c>
      <c r="Z411">
        <f t="shared" si="78"/>
        <v>0</v>
      </c>
      <c r="AA411" t="str">
        <f>INDEX('Priority activities'!$D$5:$D$86,MATCH('Database for analysis'!C411,'Priority activities'!$C$5:$C$86,0))</f>
        <v>n/a</v>
      </c>
    </row>
    <row r="412" spans="2:27" ht="16.5" thickTop="1" thickBot="1" x14ac:dyDescent="0.3">
      <c r="B412" t="s">
        <v>195</v>
      </c>
      <c r="C412" s="22" t="str">
        <f>'Costing inputs'!$C$192</f>
        <v>Training for CO's and MD's conducting BTLs (SDA.2.3)</v>
      </c>
      <c r="D412" s="22" t="str">
        <f>'Costing inputs'!$U$192</f>
        <v>Central level</v>
      </c>
      <c r="E412" s="22" t="str">
        <f>'Regional splits'!$L$14</f>
        <v>Western</v>
      </c>
      <c r="F412">
        <v>0</v>
      </c>
      <c r="G412">
        <v>0</v>
      </c>
      <c r="H412">
        <v>0</v>
      </c>
      <c r="I412">
        <v>0</v>
      </c>
      <c r="J412">
        <v>0</v>
      </c>
      <c r="K412">
        <v>0</v>
      </c>
      <c r="L412">
        <v>0</v>
      </c>
      <c r="M412">
        <v>0</v>
      </c>
      <c r="N412">
        <v>0</v>
      </c>
      <c r="O412">
        <v>0</v>
      </c>
      <c r="P412" s="5">
        <f t="shared" si="68"/>
        <v>0</v>
      </c>
      <c r="Q412">
        <f t="shared" si="69"/>
        <v>0</v>
      </c>
      <c r="R412">
        <f t="shared" si="70"/>
        <v>0</v>
      </c>
      <c r="S412">
        <f t="shared" si="71"/>
        <v>0</v>
      </c>
      <c r="T412">
        <f t="shared" si="72"/>
        <v>0</v>
      </c>
      <c r="U412">
        <f t="shared" si="73"/>
        <v>0</v>
      </c>
      <c r="V412">
        <f t="shared" si="74"/>
        <v>0</v>
      </c>
      <c r="W412">
        <f t="shared" si="75"/>
        <v>0</v>
      </c>
      <c r="X412">
        <f t="shared" si="76"/>
        <v>0</v>
      </c>
      <c r="Y412">
        <f t="shared" si="77"/>
        <v>0</v>
      </c>
      <c r="Z412">
        <f t="shared" si="78"/>
        <v>0</v>
      </c>
      <c r="AA412" t="str">
        <f>INDEX('Priority activities'!$D$5:$D$86,MATCH('Database for analysis'!C412,'Priority activities'!$C$5:$C$86,0))</f>
        <v>n/a</v>
      </c>
    </row>
    <row r="413" spans="2:27" ht="16.5" thickTop="1" thickBot="1" x14ac:dyDescent="0.3">
      <c r="B413" t="s">
        <v>195</v>
      </c>
      <c r="C413" s="22" t="str">
        <f>'Costing inputs'!$C$192</f>
        <v>Training for CO's and MD's conducting BTLs (SDA.2.3)</v>
      </c>
      <c r="D413" s="22" t="str">
        <f>'Costing inputs'!$U$192</f>
        <v>Central level</v>
      </c>
      <c r="E413" s="22">
        <f>'Regional splits'!$M$14</f>
        <v>0</v>
      </c>
      <c r="F413">
        <v>0</v>
      </c>
      <c r="G413">
        <v>0</v>
      </c>
      <c r="H413">
        <v>0</v>
      </c>
      <c r="I413">
        <v>0</v>
      </c>
      <c r="J413">
        <v>0</v>
      </c>
      <c r="K413">
        <v>0</v>
      </c>
      <c r="L413">
        <v>0</v>
      </c>
      <c r="M413">
        <v>0</v>
      </c>
      <c r="N413">
        <v>0</v>
      </c>
      <c r="O413">
        <v>0</v>
      </c>
      <c r="P413" s="5">
        <f t="shared" si="68"/>
        <v>0</v>
      </c>
      <c r="Q413">
        <f t="shared" si="69"/>
        <v>0</v>
      </c>
      <c r="R413">
        <f t="shared" si="70"/>
        <v>0</v>
      </c>
      <c r="S413">
        <f t="shared" si="71"/>
        <v>0</v>
      </c>
      <c r="T413">
        <f t="shared" si="72"/>
        <v>0</v>
      </c>
      <c r="U413">
        <f t="shared" si="73"/>
        <v>0</v>
      </c>
      <c r="V413">
        <f t="shared" si="74"/>
        <v>0</v>
      </c>
      <c r="W413">
        <f t="shared" si="75"/>
        <v>0</v>
      </c>
      <c r="X413">
        <f t="shared" si="76"/>
        <v>0</v>
      </c>
      <c r="Y413">
        <f t="shared" si="77"/>
        <v>0</v>
      </c>
      <c r="Z413">
        <f t="shared" si="78"/>
        <v>0</v>
      </c>
      <c r="AA413" t="str">
        <f>INDEX('Priority activities'!$D$5:$D$86,MATCH('Database for analysis'!C413,'Priority activities'!$C$5:$C$86,0))</f>
        <v>n/a</v>
      </c>
    </row>
    <row r="414" spans="2:27" ht="16.5" thickTop="1" thickBot="1" x14ac:dyDescent="0.3">
      <c r="B414" t="s">
        <v>195</v>
      </c>
      <c r="C414" s="22" t="str">
        <f>'Costing inputs'!$C$192</f>
        <v>Training for CO's and MD's conducting BTLs (SDA.2.3)</v>
      </c>
      <c r="D414" s="22" t="str">
        <f>'Costing inputs'!$U$192</f>
        <v>Central level</v>
      </c>
      <c r="E414" s="22">
        <f>'Regional splits'!$N$14</f>
        <v>0</v>
      </c>
      <c r="F414">
        <v>0</v>
      </c>
      <c r="G414">
        <v>0</v>
      </c>
      <c r="H414">
        <v>0</v>
      </c>
      <c r="I414">
        <v>0</v>
      </c>
      <c r="J414">
        <v>0</v>
      </c>
      <c r="K414">
        <v>0</v>
      </c>
      <c r="L414">
        <v>0</v>
      </c>
      <c r="M414">
        <v>0</v>
      </c>
      <c r="N414">
        <v>0</v>
      </c>
      <c r="O414">
        <v>0</v>
      </c>
      <c r="P414" s="5">
        <f t="shared" si="68"/>
        <v>0</v>
      </c>
      <c r="Q414">
        <f t="shared" si="69"/>
        <v>0</v>
      </c>
      <c r="R414">
        <f t="shared" si="70"/>
        <v>0</v>
      </c>
      <c r="S414">
        <f t="shared" si="71"/>
        <v>0</v>
      </c>
      <c r="T414">
        <f t="shared" si="72"/>
        <v>0</v>
      </c>
      <c r="U414">
        <f t="shared" si="73"/>
        <v>0</v>
      </c>
      <c r="V414">
        <f t="shared" si="74"/>
        <v>0</v>
      </c>
      <c r="W414">
        <f t="shared" si="75"/>
        <v>0</v>
      </c>
      <c r="X414">
        <f t="shared" si="76"/>
        <v>0</v>
      </c>
      <c r="Y414">
        <f t="shared" si="77"/>
        <v>0</v>
      </c>
      <c r="Z414">
        <f t="shared" si="78"/>
        <v>0</v>
      </c>
      <c r="AA414" t="str">
        <f>INDEX('Priority activities'!$D$5:$D$86,MATCH('Database for analysis'!C414,'Priority activities'!$C$5:$C$86,0))</f>
        <v>n/a</v>
      </c>
    </row>
    <row r="415" spans="2:27" ht="16.5" thickTop="1" thickBot="1" x14ac:dyDescent="0.3">
      <c r="B415" t="s">
        <v>195</v>
      </c>
      <c r="C415" s="22" t="str">
        <f>'Costing inputs'!$C$192</f>
        <v>Training for CO's and MD's conducting BTLs (SDA.2.3)</v>
      </c>
      <c r="D415" s="22" t="str">
        <f>'Costing inputs'!$U$192</f>
        <v>Central level</v>
      </c>
      <c r="E415" s="22">
        <f>'Regional splits'!$O$14</f>
        <v>0</v>
      </c>
      <c r="F415">
        <v>0</v>
      </c>
      <c r="G415">
        <v>0</v>
      </c>
      <c r="H415">
        <v>0</v>
      </c>
      <c r="I415">
        <v>0</v>
      </c>
      <c r="J415">
        <v>0</v>
      </c>
      <c r="K415">
        <v>0</v>
      </c>
      <c r="L415">
        <v>0</v>
      </c>
      <c r="M415">
        <v>0</v>
      </c>
      <c r="N415">
        <v>0</v>
      </c>
      <c r="O415">
        <v>0</v>
      </c>
      <c r="P415" s="5">
        <f t="shared" si="68"/>
        <v>0</v>
      </c>
      <c r="Q415">
        <f t="shared" si="69"/>
        <v>0</v>
      </c>
      <c r="R415">
        <f t="shared" si="70"/>
        <v>0</v>
      </c>
      <c r="S415">
        <f t="shared" si="71"/>
        <v>0</v>
      </c>
      <c r="T415">
        <f t="shared" si="72"/>
        <v>0</v>
      </c>
      <c r="U415">
        <f t="shared" si="73"/>
        <v>0</v>
      </c>
      <c r="V415">
        <f t="shared" si="74"/>
        <v>0</v>
      </c>
      <c r="W415">
        <f t="shared" si="75"/>
        <v>0</v>
      </c>
      <c r="X415">
        <f t="shared" si="76"/>
        <v>0</v>
      </c>
      <c r="Y415">
        <f t="shared" si="77"/>
        <v>0</v>
      </c>
      <c r="Z415">
        <f t="shared" si="78"/>
        <v>0</v>
      </c>
      <c r="AA415" t="str">
        <f>INDEX('Priority activities'!$D$5:$D$86,MATCH('Database for analysis'!C415,'Priority activities'!$C$5:$C$86,0))</f>
        <v>n/a</v>
      </c>
    </row>
    <row r="416" spans="2:27" ht="16.5" thickTop="1" thickBot="1" x14ac:dyDescent="0.3">
      <c r="B416" t="s">
        <v>195</v>
      </c>
      <c r="C416" s="22" t="str">
        <f>'Costing inputs'!$C$192</f>
        <v>Training for CO's and MD's conducting BTLs (SDA.2.3)</v>
      </c>
      <c r="D416" s="22" t="str">
        <f>'Costing inputs'!$U$192</f>
        <v>Central level</v>
      </c>
      <c r="E416" s="22">
        <f>'Regional splits'!$P$14</f>
        <v>0</v>
      </c>
      <c r="F416">
        <v>0</v>
      </c>
      <c r="G416">
        <v>0</v>
      </c>
      <c r="H416">
        <v>0</v>
      </c>
      <c r="I416">
        <v>0</v>
      </c>
      <c r="J416">
        <v>0</v>
      </c>
      <c r="K416">
        <v>0</v>
      </c>
      <c r="L416">
        <v>0</v>
      </c>
      <c r="M416">
        <v>0</v>
      </c>
      <c r="N416">
        <v>0</v>
      </c>
      <c r="O416">
        <v>0</v>
      </c>
      <c r="P416" s="5">
        <f t="shared" si="68"/>
        <v>0</v>
      </c>
      <c r="Q416">
        <f t="shared" si="69"/>
        <v>0</v>
      </c>
      <c r="R416">
        <f t="shared" si="70"/>
        <v>0</v>
      </c>
      <c r="S416">
        <f t="shared" si="71"/>
        <v>0</v>
      </c>
      <c r="T416">
        <f t="shared" si="72"/>
        <v>0</v>
      </c>
      <c r="U416">
        <f t="shared" si="73"/>
        <v>0</v>
      </c>
      <c r="V416">
        <f t="shared" si="74"/>
        <v>0</v>
      </c>
      <c r="W416">
        <f t="shared" si="75"/>
        <v>0</v>
      </c>
      <c r="X416">
        <f t="shared" si="76"/>
        <v>0</v>
      </c>
      <c r="Y416">
        <f t="shared" si="77"/>
        <v>0</v>
      </c>
      <c r="Z416">
        <f t="shared" si="78"/>
        <v>0</v>
      </c>
      <c r="AA416" t="str">
        <f>INDEX('Priority activities'!$D$5:$D$86,MATCH('Database for analysis'!C416,'Priority activities'!$C$5:$C$86,0))</f>
        <v>n/a</v>
      </c>
    </row>
    <row r="417" spans="2:27" ht="16.5" thickTop="1" thickBot="1" x14ac:dyDescent="0.3">
      <c r="B417" t="s">
        <v>195</v>
      </c>
      <c r="C417" s="22" t="str">
        <f>'Costing inputs'!$C$192</f>
        <v>Training for CO's and MD's conducting BTLs (SDA.2.3)</v>
      </c>
      <c r="D417" s="22" t="str">
        <f>'Costing inputs'!$U$192</f>
        <v>Central level</v>
      </c>
      <c r="E417" s="22">
        <f>'Regional splits'!$Q$14</f>
        <v>0</v>
      </c>
      <c r="F417">
        <v>0</v>
      </c>
      <c r="G417">
        <v>0</v>
      </c>
      <c r="H417">
        <v>0</v>
      </c>
      <c r="I417">
        <v>0</v>
      </c>
      <c r="J417">
        <v>0</v>
      </c>
      <c r="K417">
        <v>0</v>
      </c>
      <c r="L417">
        <v>0</v>
      </c>
      <c r="M417">
        <v>0</v>
      </c>
      <c r="N417">
        <v>0</v>
      </c>
      <c r="O417">
        <v>0</v>
      </c>
      <c r="P417" s="5">
        <f t="shared" si="68"/>
        <v>0</v>
      </c>
      <c r="Q417">
        <f t="shared" si="69"/>
        <v>0</v>
      </c>
      <c r="R417">
        <f t="shared" si="70"/>
        <v>0</v>
      </c>
      <c r="S417">
        <f t="shared" si="71"/>
        <v>0</v>
      </c>
      <c r="T417">
        <f t="shared" si="72"/>
        <v>0</v>
      </c>
      <c r="U417">
        <f t="shared" si="73"/>
        <v>0</v>
      </c>
      <c r="V417">
        <f t="shared" si="74"/>
        <v>0</v>
      </c>
      <c r="W417">
        <f t="shared" si="75"/>
        <v>0</v>
      </c>
      <c r="X417">
        <f t="shared" si="76"/>
        <v>0</v>
      </c>
      <c r="Y417">
        <f t="shared" si="77"/>
        <v>0</v>
      </c>
      <c r="Z417">
        <f t="shared" si="78"/>
        <v>0</v>
      </c>
      <c r="AA417" t="str">
        <f>INDEX('Priority activities'!$D$5:$D$86,MATCH('Database for analysis'!C417,'Priority activities'!$C$5:$C$86,0))</f>
        <v>n/a</v>
      </c>
    </row>
    <row r="418" spans="2:27" ht="16.5" thickTop="1" thickBot="1" x14ac:dyDescent="0.3">
      <c r="B418" t="s">
        <v>195</v>
      </c>
      <c r="C418" s="22" t="str">
        <f>'Costing inputs'!$C$192</f>
        <v>Training for CO's and MD's conducting BTLs (SDA.2.3)</v>
      </c>
      <c r="D418" s="22" t="str">
        <f>'Costing inputs'!$U$192</f>
        <v>Central level</v>
      </c>
      <c r="E418" s="22" t="str">
        <f>'Regional splits'!$R$14</f>
        <v>National-level</v>
      </c>
      <c r="F418">
        <v>0</v>
      </c>
      <c r="G418">
        <v>389739.67420000001</v>
      </c>
      <c r="H418">
        <v>0</v>
      </c>
      <c r="I418">
        <v>0</v>
      </c>
      <c r="J418">
        <v>0</v>
      </c>
      <c r="K418">
        <v>0</v>
      </c>
      <c r="L418">
        <v>0</v>
      </c>
      <c r="M418">
        <v>0</v>
      </c>
      <c r="N418">
        <v>0</v>
      </c>
      <c r="O418">
        <v>0</v>
      </c>
      <c r="P418" s="5">
        <f t="shared" si="68"/>
        <v>389739.67420000001</v>
      </c>
      <c r="Q418">
        <f t="shared" si="69"/>
        <v>0</v>
      </c>
      <c r="R418">
        <f t="shared" si="70"/>
        <v>389739.67420000001</v>
      </c>
      <c r="S418">
        <f t="shared" si="71"/>
        <v>0</v>
      </c>
      <c r="T418">
        <f t="shared" si="72"/>
        <v>0</v>
      </c>
      <c r="U418">
        <f t="shared" si="73"/>
        <v>0</v>
      </c>
      <c r="V418">
        <f t="shared" si="74"/>
        <v>0</v>
      </c>
      <c r="W418">
        <f t="shared" si="75"/>
        <v>0</v>
      </c>
      <c r="X418">
        <f t="shared" si="76"/>
        <v>0</v>
      </c>
      <c r="Y418">
        <f t="shared" si="77"/>
        <v>0</v>
      </c>
      <c r="Z418">
        <f t="shared" si="78"/>
        <v>0</v>
      </c>
      <c r="AA418" t="str">
        <f>INDEX('Priority activities'!$D$5:$D$86,MATCH('Database for analysis'!C418,'Priority activities'!$C$5:$C$86,0))</f>
        <v>n/a</v>
      </c>
    </row>
    <row r="419" spans="2:27" ht="16.5" thickTop="1" thickBot="1" x14ac:dyDescent="0.3">
      <c r="B419" t="s">
        <v>195</v>
      </c>
      <c r="C419" s="22" t="str">
        <f>'Costing inputs'!$C$198</f>
        <v>Outreach activities and mobile clinics - ongoing costs (SDA6.1 and SDA8.1)</v>
      </c>
      <c r="D419" s="22" t="str">
        <f>'Costing inputs'!$U$198</f>
        <v>Districts</v>
      </c>
      <c r="E419" s="22" t="str">
        <f>'Regional splits'!$C$14</f>
        <v>Central</v>
      </c>
      <c r="F419">
        <f t="array" ref="F419:O434">'Costing inputs'!S198*'Costing inputs'!AP198:AY198*TRANSPOSE('Costing inputs'!W198:AL198)</f>
        <v>0</v>
      </c>
      <c r="G419">
        <v>499051.6586666666</v>
      </c>
      <c r="H419">
        <v>499051.6586666666</v>
      </c>
      <c r="I419">
        <v>499051.6586666666</v>
      </c>
      <c r="J419">
        <v>499051.6586666666</v>
      </c>
      <c r="K419">
        <v>499051.6586666666</v>
      </c>
      <c r="L419">
        <v>499051.6586666666</v>
      </c>
      <c r="M419">
        <v>499051.6586666666</v>
      </c>
      <c r="N419">
        <v>0</v>
      </c>
      <c r="O419">
        <v>0</v>
      </c>
      <c r="P419" s="5">
        <f t="shared" si="68"/>
        <v>3493361.6106666662</v>
      </c>
      <c r="Q419">
        <f t="shared" si="69"/>
        <v>0</v>
      </c>
      <c r="R419">
        <f t="shared" si="70"/>
        <v>499051.6586666666</v>
      </c>
      <c r="S419">
        <f t="shared" si="71"/>
        <v>499051.6586666666</v>
      </c>
      <c r="T419">
        <f t="shared" si="72"/>
        <v>499051.6586666666</v>
      </c>
      <c r="U419">
        <f t="shared" si="73"/>
        <v>499051.6586666666</v>
      </c>
      <c r="V419">
        <f t="shared" si="74"/>
        <v>499051.6586666666</v>
      </c>
      <c r="W419">
        <f t="shared" si="75"/>
        <v>499051.6586666666</v>
      </c>
      <c r="X419">
        <f t="shared" si="76"/>
        <v>499051.6586666666</v>
      </c>
      <c r="Y419">
        <f t="shared" si="77"/>
        <v>0</v>
      </c>
      <c r="Z419">
        <f t="shared" si="78"/>
        <v>0</v>
      </c>
      <c r="AA419" t="str">
        <f>INDEX('Priority activities'!$D$5:$D$86,MATCH('Database for analysis'!C419,'Priority activities'!$C$5:$C$86,0))</f>
        <v>Rural and underserved access to FP services</v>
      </c>
    </row>
    <row r="420" spans="2:27" ht="16.5" thickTop="1" thickBot="1" x14ac:dyDescent="0.3">
      <c r="B420" t="s">
        <v>195</v>
      </c>
      <c r="C420" s="22" t="str">
        <f>'Costing inputs'!$C$198</f>
        <v>Outreach activities and mobile clinics - ongoing costs (SDA6.1 and SDA8.1)</v>
      </c>
      <c r="D420" s="22" t="str">
        <f>'Costing inputs'!$U$198</f>
        <v>Districts</v>
      </c>
      <c r="E420" s="22" t="str">
        <f>'Regional splits'!$D$14</f>
        <v>Copperbelt</v>
      </c>
      <c r="F420">
        <v>0</v>
      </c>
      <c r="G420">
        <v>831752.76444444433</v>
      </c>
      <c r="H420">
        <v>831752.76444444433</v>
      </c>
      <c r="I420">
        <v>831752.76444444433</v>
      </c>
      <c r="J420">
        <v>831752.76444444433</v>
      </c>
      <c r="K420">
        <v>831752.76444444433</v>
      </c>
      <c r="L420">
        <v>831752.76444444433</v>
      </c>
      <c r="M420">
        <v>831752.76444444433</v>
      </c>
      <c r="N420">
        <v>0</v>
      </c>
      <c r="O420">
        <v>0</v>
      </c>
      <c r="P420" s="5">
        <f t="shared" si="68"/>
        <v>5822269.3511111103</v>
      </c>
      <c r="Q420">
        <f t="shared" si="69"/>
        <v>0</v>
      </c>
      <c r="R420">
        <f t="shared" si="70"/>
        <v>831752.76444444433</v>
      </c>
      <c r="S420">
        <f t="shared" si="71"/>
        <v>831752.76444444433</v>
      </c>
      <c r="T420">
        <f t="shared" si="72"/>
        <v>831752.76444444433</v>
      </c>
      <c r="U420">
        <f t="shared" si="73"/>
        <v>831752.76444444433</v>
      </c>
      <c r="V420">
        <f t="shared" si="74"/>
        <v>831752.76444444433</v>
      </c>
      <c r="W420">
        <f t="shared" si="75"/>
        <v>831752.76444444433</v>
      </c>
      <c r="X420">
        <f t="shared" si="76"/>
        <v>831752.76444444433</v>
      </c>
      <c r="Y420">
        <f t="shared" si="77"/>
        <v>0</v>
      </c>
      <c r="Z420">
        <f t="shared" si="78"/>
        <v>0</v>
      </c>
      <c r="AA420" t="str">
        <f>INDEX('Priority activities'!$D$5:$D$86,MATCH('Database for analysis'!C420,'Priority activities'!$C$5:$C$86,0))</f>
        <v>Rural and underserved access to FP services</v>
      </c>
    </row>
    <row r="421" spans="2:27" ht="16.5" thickTop="1" thickBot="1" x14ac:dyDescent="0.3">
      <c r="B421" t="s">
        <v>195</v>
      </c>
      <c r="C421" s="22" t="str">
        <f>'Costing inputs'!$C$198</f>
        <v>Outreach activities and mobile clinics - ongoing costs (SDA6.1 and SDA8.1)</v>
      </c>
      <c r="D421" s="22" t="str">
        <f>'Costing inputs'!$U$198</f>
        <v>Districts</v>
      </c>
      <c r="E421" s="22" t="str">
        <f>'Regional splits'!$E$14</f>
        <v>Eastern</v>
      </c>
      <c r="F421">
        <v>0</v>
      </c>
      <c r="G421">
        <v>582226.93511111103</v>
      </c>
      <c r="H421">
        <v>582226.93511111103</v>
      </c>
      <c r="I421">
        <v>582226.93511111103</v>
      </c>
      <c r="J421">
        <v>582226.93511111103</v>
      </c>
      <c r="K421">
        <v>582226.93511111103</v>
      </c>
      <c r="L421">
        <v>582226.93511111103</v>
      </c>
      <c r="M421">
        <v>582226.93511111103</v>
      </c>
      <c r="N421">
        <v>0</v>
      </c>
      <c r="O421">
        <v>0</v>
      </c>
      <c r="P421" s="5">
        <f t="shared" si="68"/>
        <v>4075588.5457777772</v>
      </c>
      <c r="Q421">
        <f t="shared" si="69"/>
        <v>0</v>
      </c>
      <c r="R421">
        <f t="shared" si="70"/>
        <v>582226.93511111103</v>
      </c>
      <c r="S421">
        <f t="shared" si="71"/>
        <v>582226.93511111103</v>
      </c>
      <c r="T421">
        <f t="shared" si="72"/>
        <v>582226.93511111103</v>
      </c>
      <c r="U421">
        <f t="shared" si="73"/>
        <v>582226.93511111103</v>
      </c>
      <c r="V421">
        <f t="shared" si="74"/>
        <v>582226.93511111103</v>
      </c>
      <c r="W421">
        <f t="shared" si="75"/>
        <v>582226.93511111103</v>
      </c>
      <c r="X421">
        <f t="shared" si="76"/>
        <v>582226.93511111103</v>
      </c>
      <c r="Y421">
        <f t="shared" si="77"/>
        <v>0</v>
      </c>
      <c r="Z421">
        <f t="shared" si="78"/>
        <v>0</v>
      </c>
      <c r="AA421" t="str">
        <f>INDEX('Priority activities'!$D$5:$D$86,MATCH('Database for analysis'!C421,'Priority activities'!$C$5:$C$86,0))</f>
        <v>Rural and underserved access to FP services</v>
      </c>
    </row>
    <row r="422" spans="2:27" ht="16.5" thickTop="1" thickBot="1" x14ac:dyDescent="0.3">
      <c r="B422" t="s">
        <v>195</v>
      </c>
      <c r="C422" s="22" t="str">
        <f>'Costing inputs'!$C$198</f>
        <v>Outreach activities and mobile clinics - ongoing costs (SDA6.1 and SDA8.1)</v>
      </c>
      <c r="D422" s="22" t="str">
        <f>'Costing inputs'!$U$198</f>
        <v>Districts</v>
      </c>
      <c r="E422" s="22" t="str">
        <f>'Regional splits'!$F$14</f>
        <v>Luapula</v>
      </c>
      <c r="F422">
        <v>0</v>
      </c>
      <c r="G422">
        <v>582226.93511111103</v>
      </c>
      <c r="H422">
        <v>582226.93511111103</v>
      </c>
      <c r="I422">
        <v>582226.93511111103</v>
      </c>
      <c r="J422">
        <v>582226.93511111103</v>
      </c>
      <c r="K422">
        <v>582226.93511111103</v>
      </c>
      <c r="L422">
        <v>582226.93511111103</v>
      </c>
      <c r="M422">
        <v>582226.93511111103</v>
      </c>
      <c r="N422">
        <v>0</v>
      </c>
      <c r="O422">
        <v>0</v>
      </c>
      <c r="P422" s="5">
        <f t="shared" si="68"/>
        <v>4075588.5457777772</v>
      </c>
      <c r="Q422">
        <f t="shared" si="69"/>
        <v>0</v>
      </c>
      <c r="R422">
        <f t="shared" si="70"/>
        <v>582226.93511111103</v>
      </c>
      <c r="S422">
        <f t="shared" si="71"/>
        <v>582226.93511111103</v>
      </c>
      <c r="T422">
        <f t="shared" si="72"/>
        <v>582226.93511111103</v>
      </c>
      <c r="U422">
        <f t="shared" si="73"/>
        <v>582226.93511111103</v>
      </c>
      <c r="V422">
        <f t="shared" si="74"/>
        <v>582226.93511111103</v>
      </c>
      <c r="W422">
        <f t="shared" si="75"/>
        <v>582226.93511111103</v>
      </c>
      <c r="X422">
        <f t="shared" si="76"/>
        <v>582226.93511111103</v>
      </c>
      <c r="Y422">
        <f t="shared" si="77"/>
        <v>0</v>
      </c>
      <c r="Z422">
        <f t="shared" si="78"/>
        <v>0</v>
      </c>
      <c r="AA422" t="str">
        <f>INDEX('Priority activities'!$D$5:$D$86,MATCH('Database for analysis'!C422,'Priority activities'!$C$5:$C$86,0))</f>
        <v>Rural and underserved access to FP services</v>
      </c>
    </row>
    <row r="423" spans="2:27" ht="16.5" thickTop="1" thickBot="1" x14ac:dyDescent="0.3">
      <c r="B423" t="s">
        <v>195</v>
      </c>
      <c r="C423" s="22" t="str">
        <f>'Costing inputs'!$C$198</f>
        <v>Outreach activities and mobile clinics - ongoing costs (SDA6.1 and SDA8.1)</v>
      </c>
      <c r="D423" s="22" t="str">
        <f>'Costing inputs'!$U$198</f>
        <v>Districts</v>
      </c>
      <c r="E423" s="22" t="str">
        <f>'Regional splits'!$G$14</f>
        <v>Lusaka</v>
      </c>
      <c r="F423">
        <v>0</v>
      </c>
      <c r="G423">
        <v>332701.10577777773</v>
      </c>
      <c r="H423">
        <v>332701.10577777773</v>
      </c>
      <c r="I423">
        <v>332701.10577777773</v>
      </c>
      <c r="J423">
        <v>332701.10577777773</v>
      </c>
      <c r="K423">
        <v>332701.10577777773</v>
      </c>
      <c r="L423">
        <v>332701.10577777773</v>
      </c>
      <c r="M423">
        <v>332701.10577777773</v>
      </c>
      <c r="N423">
        <v>0</v>
      </c>
      <c r="O423">
        <v>0</v>
      </c>
      <c r="P423" s="5">
        <f t="shared" si="68"/>
        <v>2328907.7404444441</v>
      </c>
      <c r="Q423">
        <f t="shared" si="69"/>
        <v>0</v>
      </c>
      <c r="R423">
        <f t="shared" si="70"/>
        <v>332701.10577777773</v>
      </c>
      <c r="S423">
        <f t="shared" si="71"/>
        <v>332701.10577777773</v>
      </c>
      <c r="T423">
        <f t="shared" si="72"/>
        <v>332701.10577777773</v>
      </c>
      <c r="U423">
        <f t="shared" si="73"/>
        <v>332701.10577777773</v>
      </c>
      <c r="V423">
        <f t="shared" si="74"/>
        <v>332701.10577777773</v>
      </c>
      <c r="W423">
        <f t="shared" si="75"/>
        <v>332701.10577777773</v>
      </c>
      <c r="X423">
        <f t="shared" si="76"/>
        <v>332701.10577777773</v>
      </c>
      <c r="Y423">
        <f t="shared" si="77"/>
        <v>0</v>
      </c>
      <c r="Z423">
        <f t="shared" si="78"/>
        <v>0</v>
      </c>
      <c r="AA423" t="str">
        <f>INDEX('Priority activities'!$D$5:$D$86,MATCH('Database for analysis'!C423,'Priority activities'!$C$5:$C$86,0))</f>
        <v>Rural and underserved access to FP services</v>
      </c>
    </row>
    <row r="424" spans="2:27" ht="16.5" thickTop="1" thickBot="1" x14ac:dyDescent="0.3">
      <c r="B424" t="s">
        <v>195</v>
      </c>
      <c r="C424" s="22" t="str">
        <f>'Costing inputs'!$C$198</f>
        <v>Outreach activities and mobile clinics - ongoing costs (SDA6.1 and SDA8.1)</v>
      </c>
      <c r="D424" s="22" t="str">
        <f>'Costing inputs'!$U$198</f>
        <v>Districts</v>
      </c>
      <c r="E424" s="22" t="str">
        <f>'Regional splits'!$H$14</f>
        <v>Muchinga</v>
      </c>
      <c r="F424">
        <v>0</v>
      </c>
      <c r="G424">
        <v>415876.38222222216</v>
      </c>
      <c r="H424">
        <v>415876.38222222216</v>
      </c>
      <c r="I424">
        <v>415876.38222222216</v>
      </c>
      <c r="J424">
        <v>415876.38222222216</v>
      </c>
      <c r="K424">
        <v>415876.38222222216</v>
      </c>
      <c r="L424">
        <v>415876.38222222216</v>
      </c>
      <c r="M424">
        <v>415876.38222222216</v>
      </c>
      <c r="N424">
        <v>0</v>
      </c>
      <c r="O424">
        <v>0</v>
      </c>
      <c r="P424" s="5">
        <f t="shared" si="68"/>
        <v>2911134.6755555551</v>
      </c>
      <c r="Q424">
        <f t="shared" si="69"/>
        <v>0</v>
      </c>
      <c r="R424">
        <f t="shared" si="70"/>
        <v>415876.38222222216</v>
      </c>
      <c r="S424">
        <f t="shared" si="71"/>
        <v>415876.38222222216</v>
      </c>
      <c r="T424">
        <f t="shared" si="72"/>
        <v>415876.38222222216</v>
      </c>
      <c r="U424">
        <f t="shared" si="73"/>
        <v>415876.38222222216</v>
      </c>
      <c r="V424">
        <f t="shared" si="74"/>
        <v>415876.38222222216</v>
      </c>
      <c r="W424">
        <f t="shared" si="75"/>
        <v>415876.38222222216</v>
      </c>
      <c r="X424">
        <f t="shared" si="76"/>
        <v>415876.38222222216</v>
      </c>
      <c r="Y424">
        <f t="shared" si="77"/>
        <v>0</v>
      </c>
      <c r="Z424">
        <f t="shared" si="78"/>
        <v>0</v>
      </c>
      <c r="AA424" t="str">
        <f>INDEX('Priority activities'!$D$5:$D$86,MATCH('Database for analysis'!C424,'Priority activities'!$C$5:$C$86,0))</f>
        <v>Rural and underserved access to FP services</v>
      </c>
    </row>
    <row r="425" spans="2:27" ht="16.5" thickTop="1" thickBot="1" x14ac:dyDescent="0.3">
      <c r="B425" t="s">
        <v>195</v>
      </c>
      <c r="C425" s="22" t="str">
        <f>'Costing inputs'!$C$198</f>
        <v>Outreach activities and mobile clinics - ongoing costs (SDA6.1 and SDA8.1)</v>
      </c>
      <c r="D425" s="22" t="str">
        <f>'Costing inputs'!$U$198</f>
        <v>Districts</v>
      </c>
      <c r="E425" s="22" t="str">
        <f>'Regional splits'!$I$14</f>
        <v>Northern</v>
      </c>
      <c r="F425">
        <v>0</v>
      </c>
      <c r="G425">
        <v>665402.21155555546</v>
      </c>
      <c r="H425">
        <v>665402.21155555546</v>
      </c>
      <c r="I425">
        <v>665402.21155555546</v>
      </c>
      <c r="J425">
        <v>665402.21155555546</v>
      </c>
      <c r="K425">
        <v>665402.21155555546</v>
      </c>
      <c r="L425">
        <v>665402.21155555546</v>
      </c>
      <c r="M425">
        <v>665402.21155555546</v>
      </c>
      <c r="N425">
        <v>0</v>
      </c>
      <c r="O425">
        <v>0</v>
      </c>
      <c r="P425" s="5">
        <f t="shared" si="68"/>
        <v>4657815.4808888882</v>
      </c>
      <c r="Q425">
        <f t="shared" si="69"/>
        <v>0</v>
      </c>
      <c r="R425">
        <f t="shared" si="70"/>
        <v>665402.21155555546</v>
      </c>
      <c r="S425">
        <f t="shared" si="71"/>
        <v>665402.21155555546</v>
      </c>
      <c r="T425">
        <f t="shared" si="72"/>
        <v>665402.21155555546</v>
      </c>
      <c r="U425">
        <f t="shared" si="73"/>
        <v>665402.21155555546</v>
      </c>
      <c r="V425">
        <f t="shared" si="74"/>
        <v>665402.21155555546</v>
      </c>
      <c r="W425">
        <f t="shared" si="75"/>
        <v>665402.21155555546</v>
      </c>
      <c r="X425">
        <f t="shared" si="76"/>
        <v>665402.21155555546</v>
      </c>
      <c r="Y425">
        <f t="shared" si="77"/>
        <v>0</v>
      </c>
      <c r="Z425">
        <f t="shared" si="78"/>
        <v>0</v>
      </c>
      <c r="AA425" t="str">
        <f>INDEX('Priority activities'!$D$5:$D$86,MATCH('Database for analysis'!C425,'Priority activities'!$C$5:$C$86,0))</f>
        <v>Rural and underserved access to FP services</v>
      </c>
    </row>
    <row r="426" spans="2:27" ht="16.5" thickTop="1" thickBot="1" x14ac:dyDescent="0.3">
      <c r="B426" t="s">
        <v>195</v>
      </c>
      <c r="C426" s="22" t="str">
        <f>'Costing inputs'!$C$198</f>
        <v>Outreach activities and mobile clinics - ongoing costs (SDA6.1 and SDA8.1)</v>
      </c>
      <c r="D426" s="22" t="str">
        <f>'Costing inputs'!$U$198</f>
        <v>Districts</v>
      </c>
      <c r="E426" s="22" t="str">
        <f>'Regional splits'!$J$14</f>
        <v>North Western</v>
      </c>
      <c r="F426">
        <v>0</v>
      </c>
      <c r="G426">
        <v>582226.93511111103</v>
      </c>
      <c r="H426">
        <v>582226.93511111103</v>
      </c>
      <c r="I426">
        <v>582226.93511111103</v>
      </c>
      <c r="J426">
        <v>582226.93511111103</v>
      </c>
      <c r="K426">
        <v>582226.93511111103</v>
      </c>
      <c r="L426">
        <v>582226.93511111103</v>
      </c>
      <c r="M426">
        <v>582226.93511111103</v>
      </c>
      <c r="N426">
        <v>0</v>
      </c>
      <c r="O426">
        <v>0</v>
      </c>
      <c r="P426" s="5">
        <f t="shared" si="68"/>
        <v>4075588.5457777772</v>
      </c>
      <c r="Q426">
        <f t="shared" si="69"/>
        <v>0</v>
      </c>
      <c r="R426">
        <f t="shared" si="70"/>
        <v>582226.93511111103</v>
      </c>
      <c r="S426">
        <f t="shared" si="71"/>
        <v>582226.93511111103</v>
      </c>
      <c r="T426">
        <f t="shared" si="72"/>
        <v>582226.93511111103</v>
      </c>
      <c r="U426">
        <f t="shared" si="73"/>
        <v>582226.93511111103</v>
      </c>
      <c r="V426">
        <f t="shared" si="74"/>
        <v>582226.93511111103</v>
      </c>
      <c r="W426">
        <f t="shared" si="75"/>
        <v>582226.93511111103</v>
      </c>
      <c r="X426">
        <f t="shared" si="76"/>
        <v>582226.93511111103</v>
      </c>
      <c r="Y426">
        <f t="shared" si="77"/>
        <v>0</v>
      </c>
      <c r="Z426">
        <f t="shared" si="78"/>
        <v>0</v>
      </c>
      <c r="AA426" t="str">
        <f>INDEX('Priority activities'!$D$5:$D$86,MATCH('Database for analysis'!C426,'Priority activities'!$C$5:$C$86,0))</f>
        <v>Rural and underserved access to FP services</v>
      </c>
    </row>
    <row r="427" spans="2:27" ht="16.5" thickTop="1" thickBot="1" x14ac:dyDescent="0.3">
      <c r="B427" t="s">
        <v>195</v>
      </c>
      <c r="C427" s="22" t="str">
        <f>'Costing inputs'!$C$198</f>
        <v>Outreach activities and mobile clinics - ongoing costs (SDA6.1 and SDA8.1)</v>
      </c>
      <c r="D427" s="22" t="str">
        <f>'Costing inputs'!$U$198</f>
        <v>Districts</v>
      </c>
      <c r="E427" s="22" t="str">
        <f>'Regional splits'!$K$14</f>
        <v>Southern</v>
      </c>
      <c r="F427">
        <v>0</v>
      </c>
      <c r="G427">
        <v>914928.04088888888</v>
      </c>
      <c r="H427">
        <v>914928.04088888888</v>
      </c>
      <c r="I427">
        <v>914928.04088888888</v>
      </c>
      <c r="J427">
        <v>914928.04088888888</v>
      </c>
      <c r="K427">
        <v>914928.04088888888</v>
      </c>
      <c r="L427">
        <v>914928.04088888888</v>
      </c>
      <c r="M427">
        <v>914928.04088888888</v>
      </c>
      <c r="N427">
        <v>0</v>
      </c>
      <c r="O427">
        <v>0</v>
      </c>
      <c r="P427" s="5">
        <f t="shared" si="68"/>
        <v>6404496.2862222223</v>
      </c>
      <c r="Q427">
        <f t="shared" si="69"/>
        <v>0</v>
      </c>
      <c r="R427">
        <f t="shared" si="70"/>
        <v>914928.04088888888</v>
      </c>
      <c r="S427">
        <f t="shared" si="71"/>
        <v>914928.04088888888</v>
      </c>
      <c r="T427">
        <f t="shared" si="72"/>
        <v>914928.04088888888</v>
      </c>
      <c r="U427">
        <f t="shared" si="73"/>
        <v>914928.04088888888</v>
      </c>
      <c r="V427">
        <f t="shared" si="74"/>
        <v>914928.04088888888</v>
      </c>
      <c r="W427">
        <f t="shared" si="75"/>
        <v>914928.04088888888</v>
      </c>
      <c r="X427">
        <f t="shared" si="76"/>
        <v>914928.04088888888</v>
      </c>
      <c r="Y427">
        <f t="shared" si="77"/>
        <v>0</v>
      </c>
      <c r="Z427">
        <f t="shared" si="78"/>
        <v>0</v>
      </c>
      <c r="AA427" t="str">
        <f>INDEX('Priority activities'!$D$5:$D$86,MATCH('Database for analysis'!C427,'Priority activities'!$C$5:$C$86,0))</f>
        <v>Rural and underserved access to FP services</v>
      </c>
    </row>
    <row r="428" spans="2:27" ht="16.5" thickTop="1" thickBot="1" x14ac:dyDescent="0.3">
      <c r="B428" t="s">
        <v>195</v>
      </c>
      <c r="C428" s="22" t="str">
        <f>'Costing inputs'!$C$198</f>
        <v>Outreach activities and mobile clinics - ongoing costs (SDA6.1 and SDA8.1)</v>
      </c>
      <c r="D428" s="22" t="str">
        <f>'Costing inputs'!$U$198</f>
        <v>Districts</v>
      </c>
      <c r="E428" s="22" t="str">
        <f>'Regional splits'!$L$14</f>
        <v>Western</v>
      </c>
      <c r="F428">
        <v>0</v>
      </c>
      <c r="G428">
        <v>582226.93511111103</v>
      </c>
      <c r="H428">
        <v>582226.93511111103</v>
      </c>
      <c r="I428">
        <v>582226.93511111103</v>
      </c>
      <c r="J428">
        <v>582226.93511111103</v>
      </c>
      <c r="K428">
        <v>582226.93511111103</v>
      </c>
      <c r="L428">
        <v>582226.93511111103</v>
      </c>
      <c r="M428">
        <v>582226.93511111103</v>
      </c>
      <c r="N428">
        <v>0</v>
      </c>
      <c r="O428">
        <v>0</v>
      </c>
      <c r="P428" s="5">
        <f t="shared" si="68"/>
        <v>4075588.5457777772</v>
      </c>
      <c r="Q428">
        <f t="shared" si="69"/>
        <v>0</v>
      </c>
      <c r="R428">
        <f t="shared" si="70"/>
        <v>582226.93511111103</v>
      </c>
      <c r="S428">
        <f t="shared" si="71"/>
        <v>582226.93511111103</v>
      </c>
      <c r="T428">
        <f t="shared" si="72"/>
        <v>582226.93511111103</v>
      </c>
      <c r="U428">
        <f t="shared" si="73"/>
        <v>582226.93511111103</v>
      </c>
      <c r="V428">
        <f t="shared" si="74"/>
        <v>582226.93511111103</v>
      </c>
      <c r="W428">
        <f t="shared" si="75"/>
        <v>582226.93511111103</v>
      </c>
      <c r="X428">
        <f t="shared" si="76"/>
        <v>582226.93511111103</v>
      </c>
      <c r="Y428">
        <f t="shared" si="77"/>
        <v>0</v>
      </c>
      <c r="Z428">
        <f t="shared" si="78"/>
        <v>0</v>
      </c>
      <c r="AA428" t="str">
        <f>INDEX('Priority activities'!$D$5:$D$86,MATCH('Database for analysis'!C428,'Priority activities'!$C$5:$C$86,0))</f>
        <v>Rural and underserved access to FP services</v>
      </c>
    </row>
    <row r="429" spans="2:27" ht="16.5" thickTop="1" thickBot="1" x14ac:dyDescent="0.3">
      <c r="B429" t="s">
        <v>195</v>
      </c>
      <c r="C429" s="22" t="str">
        <f>'Costing inputs'!$C$198</f>
        <v>Outreach activities and mobile clinics - ongoing costs (SDA6.1 and SDA8.1)</v>
      </c>
      <c r="D429" s="22" t="str">
        <f>'Costing inputs'!$U$198</f>
        <v>Districts</v>
      </c>
      <c r="E429" s="22">
        <f>'Regional splits'!$M$14</f>
        <v>0</v>
      </c>
      <c r="F429">
        <v>0</v>
      </c>
      <c r="G429">
        <v>0</v>
      </c>
      <c r="H429">
        <v>0</v>
      </c>
      <c r="I429">
        <v>0</v>
      </c>
      <c r="J429">
        <v>0</v>
      </c>
      <c r="K429">
        <v>0</v>
      </c>
      <c r="L429">
        <v>0</v>
      </c>
      <c r="M429">
        <v>0</v>
      </c>
      <c r="N429">
        <v>0</v>
      </c>
      <c r="O429">
        <v>0</v>
      </c>
      <c r="P429" s="5">
        <f t="shared" si="68"/>
        <v>0</v>
      </c>
      <c r="Q429">
        <f t="shared" si="69"/>
        <v>0</v>
      </c>
      <c r="R429">
        <f t="shared" si="70"/>
        <v>0</v>
      </c>
      <c r="S429">
        <f t="shared" si="71"/>
        <v>0</v>
      </c>
      <c r="T429">
        <f t="shared" si="72"/>
        <v>0</v>
      </c>
      <c r="U429">
        <f t="shared" si="73"/>
        <v>0</v>
      </c>
      <c r="V429">
        <f t="shared" si="74"/>
        <v>0</v>
      </c>
      <c r="W429">
        <f t="shared" si="75"/>
        <v>0</v>
      </c>
      <c r="X429">
        <f t="shared" si="76"/>
        <v>0</v>
      </c>
      <c r="Y429">
        <f t="shared" si="77"/>
        <v>0</v>
      </c>
      <c r="Z429">
        <f t="shared" si="78"/>
        <v>0</v>
      </c>
      <c r="AA429" t="str">
        <f>INDEX('Priority activities'!$D$5:$D$86,MATCH('Database for analysis'!C429,'Priority activities'!$C$5:$C$86,0))</f>
        <v>Rural and underserved access to FP services</v>
      </c>
    </row>
    <row r="430" spans="2:27" ht="16.5" thickTop="1" thickBot="1" x14ac:dyDescent="0.3">
      <c r="B430" t="s">
        <v>195</v>
      </c>
      <c r="C430" s="22" t="str">
        <f>'Costing inputs'!$C$198</f>
        <v>Outreach activities and mobile clinics - ongoing costs (SDA6.1 and SDA8.1)</v>
      </c>
      <c r="D430" s="22" t="str">
        <f>'Costing inputs'!$U$198</f>
        <v>Districts</v>
      </c>
      <c r="E430" s="22">
        <f>'Regional splits'!$N$14</f>
        <v>0</v>
      </c>
      <c r="F430">
        <v>0</v>
      </c>
      <c r="G430">
        <v>0</v>
      </c>
      <c r="H430">
        <v>0</v>
      </c>
      <c r="I430">
        <v>0</v>
      </c>
      <c r="J430">
        <v>0</v>
      </c>
      <c r="K430">
        <v>0</v>
      </c>
      <c r="L430">
        <v>0</v>
      </c>
      <c r="M430">
        <v>0</v>
      </c>
      <c r="N430">
        <v>0</v>
      </c>
      <c r="O430">
        <v>0</v>
      </c>
      <c r="P430" s="5">
        <f t="shared" si="68"/>
        <v>0</v>
      </c>
      <c r="Q430">
        <f t="shared" si="69"/>
        <v>0</v>
      </c>
      <c r="R430">
        <f t="shared" si="70"/>
        <v>0</v>
      </c>
      <c r="S430">
        <f t="shared" si="71"/>
        <v>0</v>
      </c>
      <c r="T430">
        <f t="shared" si="72"/>
        <v>0</v>
      </c>
      <c r="U430">
        <f t="shared" si="73"/>
        <v>0</v>
      </c>
      <c r="V430">
        <f t="shared" si="74"/>
        <v>0</v>
      </c>
      <c r="W430">
        <f t="shared" si="75"/>
        <v>0</v>
      </c>
      <c r="X430">
        <f t="shared" si="76"/>
        <v>0</v>
      </c>
      <c r="Y430">
        <f t="shared" si="77"/>
        <v>0</v>
      </c>
      <c r="Z430">
        <f t="shared" si="78"/>
        <v>0</v>
      </c>
      <c r="AA430" t="str">
        <f>INDEX('Priority activities'!$D$5:$D$86,MATCH('Database for analysis'!C430,'Priority activities'!$C$5:$C$86,0))</f>
        <v>Rural and underserved access to FP services</v>
      </c>
    </row>
    <row r="431" spans="2:27" ht="16.5" thickTop="1" thickBot="1" x14ac:dyDescent="0.3">
      <c r="B431" t="s">
        <v>195</v>
      </c>
      <c r="C431" s="22" t="str">
        <f>'Costing inputs'!$C$198</f>
        <v>Outreach activities and mobile clinics - ongoing costs (SDA6.1 and SDA8.1)</v>
      </c>
      <c r="D431" s="22" t="str">
        <f>'Costing inputs'!$U$198</f>
        <v>Districts</v>
      </c>
      <c r="E431" s="22">
        <f>'Regional splits'!$O$14</f>
        <v>0</v>
      </c>
      <c r="F431">
        <v>0</v>
      </c>
      <c r="G431">
        <v>0</v>
      </c>
      <c r="H431">
        <v>0</v>
      </c>
      <c r="I431">
        <v>0</v>
      </c>
      <c r="J431">
        <v>0</v>
      </c>
      <c r="K431">
        <v>0</v>
      </c>
      <c r="L431">
        <v>0</v>
      </c>
      <c r="M431">
        <v>0</v>
      </c>
      <c r="N431">
        <v>0</v>
      </c>
      <c r="O431">
        <v>0</v>
      </c>
      <c r="P431" s="5">
        <f t="shared" si="68"/>
        <v>0</v>
      </c>
      <c r="Q431">
        <f t="shared" si="69"/>
        <v>0</v>
      </c>
      <c r="R431">
        <f t="shared" si="70"/>
        <v>0</v>
      </c>
      <c r="S431">
        <f t="shared" si="71"/>
        <v>0</v>
      </c>
      <c r="T431">
        <f t="shared" si="72"/>
        <v>0</v>
      </c>
      <c r="U431">
        <f t="shared" si="73"/>
        <v>0</v>
      </c>
      <c r="V431">
        <f t="shared" si="74"/>
        <v>0</v>
      </c>
      <c r="W431">
        <f t="shared" si="75"/>
        <v>0</v>
      </c>
      <c r="X431">
        <f t="shared" si="76"/>
        <v>0</v>
      </c>
      <c r="Y431">
        <f t="shared" si="77"/>
        <v>0</v>
      </c>
      <c r="Z431">
        <f t="shared" si="78"/>
        <v>0</v>
      </c>
      <c r="AA431" t="str">
        <f>INDEX('Priority activities'!$D$5:$D$86,MATCH('Database for analysis'!C431,'Priority activities'!$C$5:$C$86,0))</f>
        <v>Rural and underserved access to FP services</v>
      </c>
    </row>
    <row r="432" spans="2:27" ht="16.5" thickTop="1" thickBot="1" x14ac:dyDescent="0.3">
      <c r="B432" t="s">
        <v>195</v>
      </c>
      <c r="C432" s="22" t="str">
        <f>'Costing inputs'!$C$198</f>
        <v>Outreach activities and mobile clinics - ongoing costs (SDA6.1 and SDA8.1)</v>
      </c>
      <c r="D432" s="22" t="str">
        <f>'Costing inputs'!$U$198</f>
        <v>Districts</v>
      </c>
      <c r="E432" s="22">
        <f>'Regional splits'!$P$14</f>
        <v>0</v>
      </c>
      <c r="F432">
        <v>0</v>
      </c>
      <c r="G432">
        <v>0</v>
      </c>
      <c r="H432">
        <v>0</v>
      </c>
      <c r="I432">
        <v>0</v>
      </c>
      <c r="J432">
        <v>0</v>
      </c>
      <c r="K432">
        <v>0</v>
      </c>
      <c r="L432">
        <v>0</v>
      </c>
      <c r="M432">
        <v>0</v>
      </c>
      <c r="N432">
        <v>0</v>
      </c>
      <c r="O432">
        <v>0</v>
      </c>
      <c r="P432" s="5">
        <f t="shared" si="68"/>
        <v>0</v>
      </c>
      <c r="Q432">
        <f t="shared" si="69"/>
        <v>0</v>
      </c>
      <c r="R432">
        <f t="shared" si="70"/>
        <v>0</v>
      </c>
      <c r="S432">
        <f t="shared" si="71"/>
        <v>0</v>
      </c>
      <c r="T432">
        <f t="shared" si="72"/>
        <v>0</v>
      </c>
      <c r="U432">
        <f t="shared" si="73"/>
        <v>0</v>
      </c>
      <c r="V432">
        <f t="shared" si="74"/>
        <v>0</v>
      </c>
      <c r="W432">
        <f t="shared" si="75"/>
        <v>0</v>
      </c>
      <c r="X432">
        <f t="shared" si="76"/>
        <v>0</v>
      </c>
      <c r="Y432">
        <f t="shared" si="77"/>
        <v>0</v>
      </c>
      <c r="Z432">
        <f t="shared" si="78"/>
        <v>0</v>
      </c>
      <c r="AA432" t="str">
        <f>INDEX('Priority activities'!$D$5:$D$86,MATCH('Database for analysis'!C432,'Priority activities'!$C$5:$C$86,0))</f>
        <v>Rural and underserved access to FP services</v>
      </c>
    </row>
    <row r="433" spans="2:27" ht="16.5" thickTop="1" thickBot="1" x14ac:dyDescent="0.3">
      <c r="B433" t="s">
        <v>195</v>
      </c>
      <c r="C433" s="22" t="str">
        <f>'Costing inputs'!$C$198</f>
        <v>Outreach activities and mobile clinics - ongoing costs (SDA6.1 and SDA8.1)</v>
      </c>
      <c r="D433" s="22" t="str">
        <f>'Costing inputs'!$U$198</f>
        <v>Districts</v>
      </c>
      <c r="E433" s="22">
        <f>'Regional splits'!$Q$14</f>
        <v>0</v>
      </c>
      <c r="F433">
        <v>0</v>
      </c>
      <c r="G433">
        <v>0</v>
      </c>
      <c r="H433">
        <v>0</v>
      </c>
      <c r="I433">
        <v>0</v>
      </c>
      <c r="J433">
        <v>0</v>
      </c>
      <c r="K433">
        <v>0</v>
      </c>
      <c r="L433">
        <v>0</v>
      </c>
      <c r="M433">
        <v>0</v>
      </c>
      <c r="N433">
        <v>0</v>
      </c>
      <c r="O433">
        <v>0</v>
      </c>
      <c r="P433" s="5">
        <f t="shared" si="68"/>
        <v>0</v>
      </c>
      <c r="Q433">
        <f t="shared" si="69"/>
        <v>0</v>
      </c>
      <c r="R433">
        <f t="shared" si="70"/>
        <v>0</v>
      </c>
      <c r="S433">
        <f t="shared" si="71"/>
        <v>0</v>
      </c>
      <c r="T433">
        <f t="shared" si="72"/>
        <v>0</v>
      </c>
      <c r="U433">
        <f t="shared" si="73"/>
        <v>0</v>
      </c>
      <c r="V433">
        <f t="shared" si="74"/>
        <v>0</v>
      </c>
      <c r="W433">
        <f t="shared" si="75"/>
        <v>0</v>
      </c>
      <c r="X433">
        <f t="shared" si="76"/>
        <v>0</v>
      </c>
      <c r="Y433">
        <f t="shared" si="77"/>
        <v>0</v>
      </c>
      <c r="Z433">
        <f t="shared" si="78"/>
        <v>0</v>
      </c>
      <c r="AA433" t="str">
        <f>INDEX('Priority activities'!$D$5:$D$86,MATCH('Database for analysis'!C433,'Priority activities'!$C$5:$C$86,0))</f>
        <v>Rural and underserved access to FP services</v>
      </c>
    </row>
    <row r="434" spans="2:27" ht="16.5" thickTop="1" thickBot="1" x14ac:dyDescent="0.3">
      <c r="B434" t="s">
        <v>195</v>
      </c>
      <c r="C434" s="22" t="str">
        <f>'Costing inputs'!$C$198</f>
        <v>Outreach activities and mobile clinics - ongoing costs (SDA6.1 and SDA8.1)</v>
      </c>
      <c r="D434" s="22" t="str">
        <f>'Costing inputs'!$U$198</f>
        <v>Districts</v>
      </c>
      <c r="E434" s="22" t="str">
        <f>'Regional splits'!$R$14</f>
        <v>National-level</v>
      </c>
      <c r="F434">
        <v>0</v>
      </c>
      <c r="G434">
        <v>0</v>
      </c>
      <c r="H434">
        <v>0</v>
      </c>
      <c r="I434">
        <v>0</v>
      </c>
      <c r="J434">
        <v>0</v>
      </c>
      <c r="K434">
        <v>0</v>
      </c>
      <c r="L434">
        <v>0</v>
      </c>
      <c r="M434">
        <v>0</v>
      </c>
      <c r="N434">
        <v>0</v>
      </c>
      <c r="O434">
        <v>0</v>
      </c>
      <c r="P434" s="5">
        <f t="shared" si="68"/>
        <v>0</v>
      </c>
      <c r="Q434">
        <f t="shared" si="69"/>
        <v>0</v>
      </c>
      <c r="R434">
        <f t="shared" si="70"/>
        <v>0</v>
      </c>
      <c r="S434">
        <f t="shared" si="71"/>
        <v>0</v>
      </c>
      <c r="T434">
        <f t="shared" si="72"/>
        <v>0</v>
      </c>
      <c r="U434">
        <f t="shared" si="73"/>
        <v>0</v>
      </c>
      <c r="V434">
        <f t="shared" si="74"/>
        <v>0</v>
      </c>
      <c r="W434">
        <f t="shared" si="75"/>
        <v>0</v>
      </c>
      <c r="X434">
        <f t="shared" si="76"/>
        <v>0</v>
      </c>
      <c r="Y434">
        <f t="shared" si="77"/>
        <v>0</v>
      </c>
      <c r="Z434">
        <f t="shared" si="78"/>
        <v>0</v>
      </c>
      <c r="AA434" t="str">
        <f>INDEX('Priority activities'!$D$5:$D$86,MATCH('Database for analysis'!C434,'Priority activities'!$C$5:$C$86,0))</f>
        <v>Rural and underserved access to FP services</v>
      </c>
    </row>
    <row r="435" spans="2:27" ht="16.5" thickTop="1" thickBot="1" x14ac:dyDescent="0.3">
      <c r="B435" t="s">
        <v>195</v>
      </c>
      <c r="C435" s="22" t="str">
        <f>'Costing inputs'!$C$205</f>
        <v>CBD training (SDA7.2 and 7.3 supplemental)</v>
      </c>
      <c r="D435" s="22" t="str">
        <f>'Costing inputs'!$U$205</f>
        <v>Evenly by province/region</v>
      </c>
      <c r="E435" s="22" t="str">
        <f>'Regional splits'!$C$14</f>
        <v>Central</v>
      </c>
      <c r="F435">
        <f t="array" ref="F435:O450">'Costing inputs'!S205*'Costing inputs'!AP205:AY205*TRANSPOSE('Costing inputs'!W205:AL205)</f>
        <v>0</v>
      </c>
      <c r="G435">
        <v>274742.20800000004</v>
      </c>
      <c r="H435">
        <v>274742.20800000004</v>
      </c>
      <c r="I435">
        <v>274742.20800000004</v>
      </c>
      <c r="J435">
        <v>274742.20800000004</v>
      </c>
      <c r="K435">
        <v>274742.20800000004</v>
      </c>
      <c r="L435">
        <v>274742.20800000004</v>
      </c>
      <c r="M435">
        <v>274742.20800000004</v>
      </c>
      <c r="N435">
        <v>0</v>
      </c>
      <c r="O435">
        <v>0</v>
      </c>
      <c r="P435" s="5">
        <f t="shared" si="68"/>
        <v>1923195.4560000005</v>
      </c>
      <c r="Q435">
        <f t="shared" si="69"/>
        <v>0</v>
      </c>
      <c r="R435">
        <f t="shared" si="70"/>
        <v>274742.20800000004</v>
      </c>
      <c r="S435">
        <f t="shared" si="71"/>
        <v>274742.20800000004</v>
      </c>
      <c r="T435">
        <f t="shared" si="72"/>
        <v>274742.20800000004</v>
      </c>
      <c r="U435">
        <f t="shared" si="73"/>
        <v>274742.20800000004</v>
      </c>
      <c r="V435">
        <f t="shared" si="74"/>
        <v>274742.20800000004</v>
      </c>
      <c r="W435">
        <f t="shared" si="75"/>
        <v>274742.20800000004</v>
      </c>
      <c r="X435">
        <f t="shared" si="76"/>
        <v>274742.20800000004</v>
      </c>
      <c r="Y435">
        <f t="shared" si="77"/>
        <v>0</v>
      </c>
      <c r="Z435">
        <f t="shared" si="78"/>
        <v>0</v>
      </c>
      <c r="AA435" t="str">
        <f>INDEX('Priority activities'!$D$5:$D$86,MATCH('Database for analysis'!C435,'Priority activities'!$C$5:$C$86,0))</f>
        <v>Rural and underserved access to FP services</v>
      </c>
    </row>
    <row r="436" spans="2:27" ht="16.5" thickTop="1" thickBot="1" x14ac:dyDescent="0.3">
      <c r="B436" t="s">
        <v>195</v>
      </c>
      <c r="C436" s="22" t="str">
        <f>'Costing inputs'!$C$205</f>
        <v>CBD training (SDA7.2 and 7.3 supplemental)</v>
      </c>
      <c r="D436" s="22" t="str">
        <f>'Costing inputs'!$U$205</f>
        <v>Evenly by province/region</v>
      </c>
      <c r="E436" s="22" t="str">
        <f>'Regional splits'!$D$14</f>
        <v>Copperbelt</v>
      </c>
      <c r="F436">
        <v>0</v>
      </c>
      <c r="G436">
        <v>274742.20800000004</v>
      </c>
      <c r="H436">
        <v>274742.20800000004</v>
      </c>
      <c r="I436">
        <v>274742.20800000004</v>
      </c>
      <c r="J436">
        <v>274742.20800000004</v>
      </c>
      <c r="K436">
        <v>274742.20800000004</v>
      </c>
      <c r="L436">
        <v>274742.20800000004</v>
      </c>
      <c r="M436">
        <v>274742.20800000004</v>
      </c>
      <c r="N436">
        <v>0</v>
      </c>
      <c r="O436">
        <v>0</v>
      </c>
      <c r="P436" s="5">
        <f t="shared" si="68"/>
        <v>1923195.4560000005</v>
      </c>
      <c r="Q436">
        <f t="shared" si="69"/>
        <v>0</v>
      </c>
      <c r="R436">
        <f t="shared" si="70"/>
        <v>274742.20800000004</v>
      </c>
      <c r="S436">
        <f t="shared" si="71"/>
        <v>274742.20800000004</v>
      </c>
      <c r="T436">
        <f t="shared" si="72"/>
        <v>274742.20800000004</v>
      </c>
      <c r="U436">
        <f t="shared" si="73"/>
        <v>274742.20800000004</v>
      </c>
      <c r="V436">
        <f t="shared" si="74"/>
        <v>274742.20800000004</v>
      </c>
      <c r="W436">
        <f t="shared" si="75"/>
        <v>274742.20800000004</v>
      </c>
      <c r="X436">
        <f t="shared" si="76"/>
        <v>274742.20800000004</v>
      </c>
      <c r="Y436">
        <f t="shared" si="77"/>
        <v>0</v>
      </c>
      <c r="Z436">
        <f t="shared" si="78"/>
        <v>0</v>
      </c>
      <c r="AA436" t="str">
        <f>INDEX('Priority activities'!$D$5:$D$86,MATCH('Database for analysis'!C436,'Priority activities'!$C$5:$C$86,0))</f>
        <v>Rural and underserved access to FP services</v>
      </c>
    </row>
    <row r="437" spans="2:27" ht="16.5" thickTop="1" thickBot="1" x14ac:dyDescent="0.3">
      <c r="B437" t="s">
        <v>195</v>
      </c>
      <c r="C437" s="22" t="str">
        <f>'Costing inputs'!$C$205</f>
        <v>CBD training (SDA7.2 and 7.3 supplemental)</v>
      </c>
      <c r="D437" s="22" t="str">
        <f>'Costing inputs'!$U$205</f>
        <v>Evenly by province/region</v>
      </c>
      <c r="E437" s="22" t="str">
        <f>'Regional splits'!$E$14</f>
        <v>Eastern</v>
      </c>
      <c r="F437">
        <v>0</v>
      </c>
      <c r="G437">
        <v>274742.20800000004</v>
      </c>
      <c r="H437">
        <v>274742.20800000004</v>
      </c>
      <c r="I437">
        <v>274742.20800000004</v>
      </c>
      <c r="J437">
        <v>274742.20800000004</v>
      </c>
      <c r="K437">
        <v>274742.20800000004</v>
      </c>
      <c r="L437">
        <v>274742.20800000004</v>
      </c>
      <c r="M437">
        <v>274742.20800000004</v>
      </c>
      <c r="N437">
        <v>0</v>
      </c>
      <c r="O437">
        <v>0</v>
      </c>
      <c r="P437" s="5">
        <f t="shared" si="68"/>
        <v>1923195.4560000005</v>
      </c>
      <c r="Q437">
        <f t="shared" si="69"/>
        <v>0</v>
      </c>
      <c r="R437">
        <f t="shared" si="70"/>
        <v>274742.20800000004</v>
      </c>
      <c r="S437">
        <f t="shared" si="71"/>
        <v>274742.20800000004</v>
      </c>
      <c r="T437">
        <f t="shared" si="72"/>
        <v>274742.20800000004</v>
      </c>
      <c r="U437">
        <f t="shared" si="73"/>
        <v>274742.20800000004</v>
      </c>
      <c r="V437">
        <f t="shared" si="74"/>
        <v>274742.20800000004</v>
      </c>
      <c r="W437">
        <f t="shared" si="75"/>
        <v>274742.20800000004</v>
      </c>
      <c r="X437">
        <f t="shared" si="76"/>
        <v>274742.20800000004</v>
      </c>
      <c r="Y437">
        <f t="shared" si="77"/>
        <v>0</v>
      </c>
      <c r="Z437">
        <f t="shared" si="78"/>
        <v>0</v>
      </c>
      <c r="AA437" t="str">
        <f>INDEX('Priority activities'!$D$5:$D$86,MATCH('Database for analysis'!C437,'Priority activities'!$C$5:$C$86,0))</f>
        <v>Rural and underserved access to FP services</v>
      </c>
    </row>
    <row r="438" spans="2:27" ht="16.5" thickTop="1" thickBot="1" x14ac:dyDescent="0.3">
      <c r="B438" t="s">
        <v>195</v>
      </c>
      <c r="C438" s="22" t="str">
        <f>'Costing inputs'!$C$205</f>
        <v>CBD training (SDA7.2 and 7.3 supplemental)</v>
      </c>
      <c r="D438" s="22" t="str">
        <f>'Costing inputs'!$U$205</f>
        <v>Evenly by province/region</v>
      </c>
      <c r="E438" s="22" t="str">
        <f>'Regional splits'!$F$14</f>
        <v>Luapula</v>
      </c>
      <c r="F438">
        <v>0</v>
      </c>
      <c r="G438">
        <v>274742.20800000004</v>
      </c>
      <c r="H438">
        <v>274742.20800000004</v>
      </c>
      <c r="I438">
        <v>274742.20800000004</v>
      </c>
      <c r="J438">
        <v>274742.20800000004</v>
      </c>
      <c r="K438">
        <v>274742.20800000004</v>
      </c>
      <c r="L438">
        <v>274742.20800000004</v>
      </c>
      <c r="M438">
        <v>274742.20800000004</v>
      </c>
      <c r="N438">
        <v>0</v>
      </c>
      <c r="O438">
        <v>0</v>
      </c>
      <c r="P438" s="5">
        <f t="shared" si="68"/>
        <v>1923195.4560000005</v>
      </c>
      <c r="Q438">
        <f t="shared" si="69"/>
        <v>0</v>
      </c>
      <c r="R438">
        <f t="shared" si="70"/>
        <v>274742.20800000004</v>
      </c>
      <c r="S438">
        <f t="shared" si="71"/>
        <v>274742.20800000004</v>
      </c>
      <c r="T438">
        <f t="shared" si="72"/>
        <v>274742.20800000004</v>
      </c>
      <c r="U438">
        <f t="shared" si="73"/>
        <v>274742.20800000004</v>
      </c>
      <c r="V438">
        <f t="shared" si="74"/>
        <v>274742.20800000004</v>
      </c>
      <c r="W438">
        <f t="shared" si="75"/>
        <v>274742.20800000004</v>
      </c>
      <c r="X438">
        <f t="shared" si="76"/>
        <v>274742.20800000004</v>
      </c>
      <c r="Y438">
        <f t="shared" si="77"/>
        <v>0</v>
      </c>
      <c r="Z438">
        <f t="shared" si="78"/>
        <v>0</v>
      </c>
      <c r="AA438" t="str">
        <f>INDEX('Priority activities'!$D$5:$D$86,MATCH('Database for analysis'!C438,'Priority activities'!$C$5:$C$86,0))</f>
        <v>Rural and underserved access to FP services</v>
      </c>
    </row>
    <row r="439" spans="2:27" ht="16.5" thickTop="1" thickBot="1" x14ac:dyDescent="0.3">
      <c r="B439" t="s">
        <v>195</v>
      </c>
      <c r="C439" s="22" t="str">
        <f>'Costing inputs'!$C$205</f>
        <v>CBD training (SDA7.2 and 7.3 supplemental)</v>
      </c>
      <c r="D439" s="22" t="str">
        <f>'Costing inputs'!$U$205</f>
        <v>Evenly by province/region</v>
      </c>
      <c r="E439" s="22" t="str">
        <f>'Regional splits'!$G$14</f>
        <v>Lusaka</v>
      </c>
      <c r="F439">
        <v>0</v>
      </c>
      <c r="G439">
        <v>274742.20800000004</v>
      </c>
      <c r="H439">
        <v>274742.20800000004</v>
      </c>
      <c r="I439">
        <v>274742.20800000004</v>
      </c>
      <c r="J439">
        <v>274742.20800000004</v>
      </c>
      <c r="K439">
        <v>274742.20800000004</v>
      </c>
      <c r="L439">
        <v>274742.20800000004</v>
      </c>
      <c r="M439">
        <v>274742.20800000004</v>
      </c>
      <c r="N439">
        <v>0</v>
      </c>
      <c r="O439">
        <v>0</v>
      </c>
      <c r="P439" s="5">
        <f t="shared" si="68"/>
        <v>1923195.4560000005</v>
      </c>
      <c r="Q439">
        <f t="shared" si="69"/>
        <v>0</v>
      </c>
      <c r="R439">
        <f t="shared" si="70"/>
        <v>274742.20800000004</v>
      </c>
      <c r="S439">
        <f t="shared" si="71"/>
        <v>274742.20800000004</v>
      </c>
      <c r="T439">
        <f t="shared" si="72"/>
        <v>274742.20800000004</v>
      </c>
      <c r="U439">
        <f t="shared" si="73"/>
        <v>274742.20800000004</v>
      </c>
      <c r="V439">
        <f t="shared" si="74"/>
        <v>274742.20800000004</v>
      </c>
      <c r="W439">
        <f t="shared" si="75"/>
        <v>274742.20800000004</v>
      </c>
      <c r="X439">
        <f t="shared" si="76"/>
        <v>274742.20800000004</v>
      </c>
      <c r="Y439">
        <f t="shared" si="77"/>
        <v>0</v>
      </c>
      <c r="Z439">
        <f t="shared" si="78"/>
        <v>0</v>
      </c>
      <c r="AA439" t="str">
        <f>INDEX('Priority activities'!$D$5:$D$86,MATCH('Database for analysis'!C439,'Priority activities'!$C$5:$C$86,0))</f>
        <v>Rural and underserved access to FP services</v>
      </c>
    </row>
    <row r="440" spans="2:27" ht="16.5" thickTop="1" thickBot="1" x14ac:dyDescent="0.3">
      <c r="B440" t="s">
        <v>195</v>
      </c>
      <c r="C440" s="22" t="str">
        <f>'Costing inputs'!$C$205</f>
        <v>CBD training (SDA7.2 and 7.3 supplemental)</v>
      </c>
      <c r="D440" s="22" t="str">
        <f>'Costing inputs'!$U$205</f>
        <v>Evenly by province/region</v>
      </c>
      <c r="E440" s="22" t="str">
        <f>'Regional splits'!$H$14</f>
        <v>Muchinga</v>
      </c>
      <c r="F440">
        <v>0</v>
      </c>
      <c r="G440">
        <v>274742.20800000004</v>
      </c>
      <c r="H440">
        <v>274742.20800000004</v>
      </c>
      <c r="I440">
        <v>274742.20800000004</v>
      </c>
      <c r="J440">
        <v>274742.20800000004</v>
      </c>
      <c r="K440">
        <v>274742.20800000004</v>
      </c>
      <c r="L440">
        <v>274742.20800000004</v>
      </c>
      <c r="M440">
        <v>274742.20800000004</v>
      </c>
      <c r="N440">
        <v>0</v>
      </c>
      <c r="O440">
        <v>0</v>
      </c>
      <c r="P440" s="5">
        <f t="shared" si="68"/>
        <v>1923195.4560000005</v>
      </c>
      <c r="Q440">
        <f t="shared" si="69"/>
        <v>0</v>
      </c>
      <c r="R440">
        <f t="shared" si="70"/>
        <v>274742.20800000004</v>
      </c>
      <c r="S440">
        <f t="shared" si="71"/>
        <v>274742.20800000004</v>
      </c>
      <c r="T440">
        <f t="shared" si="72"/>
        <v>274742.20800000004</v>
      </c>
      <c r="U440">
        <f t="shared" si="73"/>
        <v>274742.20800000004</v>
      </c>
      <c r="V440">
        <f t="shared" si="74"/>
        <v>274742.20800000004</v>
      </c>
      <c r="W440">
        <f t="shared" si="75"/>
        <v>274742.20800000004</v>
      </c>
      <c r="X440">
        <f t="shared" si="76"/>
        <v>274742.20800000004</v>
      </c>
      <c r="Y440">
        <f t="shared" si="77"/>
        <v>0</v>
      </c>
      <c r="Z440">
        <f t="shared" si="78"/>
        <v>0</v>
      </c>
      <c r="AA440" t="str">
        <f>INDEX('Priority activities'!$D$5:$D$86,MATCH('Database for analysis'!C440,'Priority activities'!$C$5:$C$86,0))</f>
        <v>Rural and underserved access to FP services</v>
      </c>
    </row>
    <row r="441" spans="2:27" ht="16.5" thickTop="1" thickBot="1" x14ac:dyDescent="0.3">
      <c r="B441" t="s">
        <v>195</v>
      </c>
      <c r="C441" s="22" t="str">
        <f>'Costing inputs'!$C$205</f>
        <v>CBD training (SDA7.2 and 7.3 supplemental)</v>
      </c>
      <c r="D441" s="22" t="str">
        <f>'Costing inputs'!$U$205</f>
        <v>Evenly by province/region</v>
      </c>
      <c r="E441" s="22" t="str">
        <f>'Regional splits'!$I$14</f>
        <v>Northern</v>
      </c>
      <c r="F441">
        <v>0</v>
      </c>
      <c r="G441">
        <v>274742.20800000004</v>
      </c>
      <c r="H441">
        <v>274742.20800000004</v>
      </c>
      <c r="I441">
        <v>274742.20800000004</v>
      </c>
      <c r="J441">
        <v>274742.20800000004</v>
      </c>
      <c r="K441">
        <v>274742.20800000004</v>
      </c>
      <c r="L441">
        <v>274742.20800000004</v>
      </c>
      <c r="M441">
        <v>274742.20800000004</v>
      </c>
      <c r="N441">
        <v>0</v>
      </c>
      <c r="O441">
        <v>0</v>
      </c>
      <c r="P441" s="5">
        <f t="shared" si="68"/>
        <v>1923195.4560000005</v>
      </c>
      <c r="Q441">
        <f t="shared" si="69"/>
        <v>0</v>
      </c>
      <c r="R441">
        <f t="shared" si="70"/>
        <v>274742.20800000004</v>
      </c>
      <c r="S441">
        <f t="shared" si="71"/>
        <v>274742.20800000004</v>
      </c>
      <c r="T441">
        <f t="shared" si="72"/>
        <v>274742.20800000004</v>
      </c>
      <c r="U441">
        <f t="shared" si="73"/>
        <v>274742.20800000004</v>
      </c>
      <c r="V441">
        <f t="shared" si="74"/>
        <v>274742.20800000004</v>
      </c>
      <c r="W441">
        <f t="shared" si="75"/>
        <v>274742.20800000004</v>
      </c>
      <c r="X441">
        <f t="shared" si="76"/>
        <v>274742.20800000004</v>
      </c>
      <c r="Y441">
        <f t="shared" si="77"/>
        <v>0</v>
      </c>
      <c r="Z441">
        <f t="shared" si="78"/>
        <v>0</v>
      </c>
      <c r="AA441" t="str">
        <f>INDEX('Priority activities'!$D$5:$D$86,MATCH('Database for analysis'!C441,'Priority activities'!$C$5:$C$86,0))</f>
        <v>Rural and underserved access to FP services</v>
      </c>
    </row>
    <row r="442" spans="2:27" ht="16.5" thickTop="1" thickBot="1" x14ac:dyDescent="0.3">
      <c r="B442" t="s">
        <v>195</v>
      </c>
      <c r="C442" s="22" t="str">
        <f>'Costing inputs'!$C$205</f>
        <v>CBD training (SDA7.2 and 7.3 supplemental)</v>
      </c>
      <c r="D442" s="22" t="str">
        <f>'Costing inputs'!$U$205</f>
        <v>Evenly by province/region</v>
      </c>
      <c r="E442" s="22" t="str">
        <f>'Regional splits'!$J$14</f>
        <v>North Western</v>
      </c>
      <c r="F442">
        <v>0</v>
      </c>
      <c r="G442">
        <v>274742.20800000004</v>
      </c>
      <c r="H442">
        <v>274742.20800000004</v>
      </c>
      <c r="I442">
        <v>274742.20800000004</v>
      </c>
      <c r="J442">
        <v>274742.20800000004</v>
      </c>
      <c r="K442">
        <v>274742.20800000004</v>
      </c>
      <c r="L442">
        <v>274742.20800000004</v>
      </c>
      <c r="M442">
        <v>274742.20800000004</v>
      </c>
      <c r="N442">
        <v>0</v>
      </c>
      <c r="O442">
        <v>0</v>
      </c>
      <c r="P442" s="5">
        <f t="shared" si="68"/>
        <v>1923195.4560000005</v>
      </c>
      <c r="Q442">
        <f t="shared" si="69"/>
        <v>0</v>
      </c>
      <c r="R442">
        <f t="shared" si="70"/>
        <v>274742.20800000004</v>
      </c>
      <c r="S442">
        <f t="shared" si="71"/>
        <v>274742.20800000004</v>
      </c>
      <c r="T442">
        <f t="shared" si="72"/>
        <v>274742.20800000004</v>
      </c>
      <c r="U442">
        <f t="shared" si="73"/>
        <v>274742.20800000004</v>
      </c>
      <c r="V442">
        <f t="shared" si="74"/>
        <v>274742.20800000004</v>
      </c>
      <c r="W442">
        <f t="shared" si="75"/>
        <v>274742.20800000004</v>
      </c>
      <c r="X442">
        <f t="shared" si="76"/>
        <v>274742.20800000004</v>
      </c>
      <c r="Y442">
        <f t="shared" si="77"/>
        <v>0</v>
      </c>
      <c r="Z442">
        <f t="shared" si="78"/>
        <v>0</v>
      </c>
      <c r="AA442" t="str">
        <f>INDEX('Priority activities'!$D$5:$D$86,MATCH('Database for analysis'!C442,'Priority activities'!$C$5:$C$86,0))</f>
        <v>Rural and underserved access to FP services</v>
      </c>
    </row>
    <row r="443" spans="2:27" ht="16.5" thickTop="1" thickBot="1" x14ac:dyDescent="0.3">
      <c r="B443" t="s">
        <v>195</v>
      </c>
      <c r="C443" s="22" t="str">
        <f>'Costing inputs'!$C$205</f>
        <v>CBD training (SDA7.2 and 7.3 supplemental)</v>
      </c>
      <c r="D443" s="22" t="str">
        <f>'Costing inputs'!$U$205</f>
        <v>Evenly by province/region</v>
      </c>
      <c r="E443" s="22" t="str">
        <f>'Regional splits'!$K$14</f>
        <v>Southern</v>
      </c>
      <c r="F443">
        <v>0</v>
      </c>
      <c r="G443">
        <v>274742.20800000004</v>
      </c>
      <c r="H443">
        <v>274742.20800000004</v>
      </c>
      <c r="I443">
        <v>274742.20800000004</v>
      </c>
      <c r="J443">
        <v>274742.20800000004</v>
      </c>
      <c r="K443">
        <v>274742.20800000004</v>
      </c>
      <c r="L443">
        <v>274742.20800000004</v>
      </c>
      <c r="M443">
        <v>274742.20800000004</v>
      </c>
      <c r="N443">
        <v>0</v>
      </c>
      <c r="O443">
        <v>0</v>
      </c>
      <c r="P443" s="5">
        <f t="shared" si="68"/>
        <v>1923195.4560000005</v>
      </c>
      <c r="Q443">
        <f t="shared" si="69"/>
        <v>0</v>
      </c>
      <c r="R443">
        <f t="shared" si="70"/>
        <v>274742.20800000004</v>
      </c>
      <c r="S443">
        <f t="shared" si="71"/>
        <v>274742.20800000004</v>
      </c>
      <c r="T443">
        <f t="shared" si="72"/>
        <v>274742.20800000004</v>
      </c>
      <c r="U443">
        <f t="shared" si="73"/>
        <v>274742.20800000004</v>
      </c>
      <c r="V443">
        <f t="shared" si="74"/>
        <v>274742.20800000004</v>
      </c>
      <c r="W443">
        <f t="shared" si="75"/>
        <v>274742.20800000004</v>
      </c>
      <c r="X443">
        <f t="shared" si="76"/>
        <v>274742.20800000004</v>
      </c>
      <c r="Y443">
        <f t="shared" si="77"/>
        <v>0</v>
      </c>
      <c r="Z443">
        <f t="shared" si="78"/>
        <v>0</v>
      </c>
      <c r="AA443" t="str">
        <f>INDEX('Priority activities'!$D$5:$D$86,MATCH('Database for analysis'!C443,'Priority activities'!$C$5:$C$86,0))</f>
        <v>Rural and underserved access to FP services</v>
      </c>
    </row>
    <row r="444" spans="2:27" ht="16.5" thickTop="1" thickBot="1" x14ac:dyDescent="0.3">
      <c r="B444" t="s">
        <v>195</v>
      </c>
      <c r="C444" s="22" t="str">
        <f>'Costing inputs'!$C$205</f>
        <v>CBD training (SDA7.2 and 7.3 supplemental)</v>
      </c>
      <c r="D444" s="22" t="str">
        <f>'Costing inputs'!$U$205</f>
        <v>Evenly by province/region</v>
      </c>
      <c r="E444" s="22" t="str">
        <f>'Regional splits'!$L$14</f>
        <v>Western</v>
      </c>
      <c r="F444">
        <v>0</v>
      </c>
      <c r="G444">
        <v>274742.20800000004</v>
      </c>
      <c r="H444">
        <v>274742.20800000004</v>
      </c>
      <c r="I444">
        <v>274742.20800000004</v>
      </c>
      <c r="J444">
        <v>274742.20800000004</v>
      </c>
      <c r="K444">
        <v>274742.20800000004</v>
      </c>
      <c r="L444">
        <v>274742.20800000004</v>
      </c>
      <c r="M444">
        <v>274742.20800000004</v>
      </c>
      <c r="N444">
        <v>0</v>
      </c>
      <c r="O444">
        <v>0</v>
      </c>
      <c r="P444" s="5">
        <f t="shared" si="68"/>
        <v>1923195.4560000005</v>
      </c>
      <c r="Q444">
        <f t="shared" si="69"/>
        <v>0</v>
      </c>
      <c r="R444">
        <f t="shared" si="70"/>
        <v>274742.20800000004</v>
      </c>
      <c r="S444">
        <f t="shared" si="71"/>
        <v>274742.20800000004</v>
      </c>
      <c r="T444">
        <f t="shared" si="72"/>
        <v>274742.20800000004</v>
      </c>
      <c r="U444">
        <f t="shared" si="73"/>
        <v>274742.20800000004</v>
      </c>
      <c r="V444">
        <f t="shared" si="74"/>
        <v>274742.20800000004</v>
      </c>
      <c r="W444">
        <f t="shared" si="75"/>
        <v>274742.20800000004</v>
      </c>
      <c r="X444">
        <f t="shared" si="76"/>
        <v>274742.20800000004</v>
      </c>
      <c r="Y444">
        <f t="shared" si="77"/>
        <v>0</v>
      </c>
      <c r="Z444">
        <f t="shared" si="78"/>
        <v>0</v>
      </c>
      <c r="AA444" t="str">
        <f>INDEX('Priority activities'!$D$5:$D$86,MATCH('Database for analysis'!C444,'Priority activities'!$C$5:$C$86,0))</f>
        <v>Rural and underserved access to FP services</v>
      </c>
    </row>
    <row r="445" spans="2:27" ht="16.5" thickTop="1" thickBot="1" x14ac:dyDescent="0.3">
      <c r="B445" t="s">
        <v>195</v>
      </c>
      <c r="C445" s="22" t="str">
        <f>'Costing inputs'!$C$205</f>
        <v>CBD training (SDA7.2 and 7.3 supplemental)</v>
      </c>
      <c r="D445" s="22" t="str">
        <f>'Costing inputs'!$U$205</f>
        <v>Evenly by province/region</v>
      </c>
      <c r="E445" s="22">
        <f>'Regional splits'!$M$14</f>
        <v>0</v>
      </c>
      <c r="F445">
        <v>0</v>
      </c>
      <c r="G445">
        <v>0</v>
      </c>
      <c r="H445">
        <v>0</v>
      </c>
      <c r="I445">
        <v>0</v>
      </c>
      <c r="J445">
        <v>0</v>
      </c>
      <c r="K445">
        <v>0</v>
      </c>
      <c r="L445">
        <v>0</v>
      </c>
      <c r="M445">
        <v>0</v>
      </c>
      <c r="N445">
        <v>0</v>
      </c>
      <c r="O445">
        <v>0</v>
      </c>
      <c r="P445" s="5">
        <f t="shared" si="68"/>
        <v>0</v>
      </c>
      <c r="Q445">
        <f t="shared" si="69"/>
        <v>0</v>
      </c>
      <c r="R445">
        <f t="shared" si="70"/>
        <v>0</v>
      </c>
      <c r="S445">
        <f t="shared" si="71"/>
        <v>0</v>
      </c>
      <c r="T445">
        <f t="shared" si="72"/>
        <v>0</v>
      </c>
      <c r="U445">
        <f t="shared" si="73"/>
        <v>0</v>
      </c>
      <c r="V445">
        <f t="shared" si="74"/>
        <v>0</v>
      </c>
      <c r="W445">
        <f t="shared" si="75"/>
        <v>0</v>
      </c>
      <c r="X445">
        <f t="shared" si="76"/>
        <v>0</v>
      </c>
      <c r="Y445">
        <f t="shared" si="77"/>
        <v>0</v>
      </c>
      <c r="Z445">
        <f t="shared" si="78"/>
        <v>0</v>
      </c>
      <c r="AA445" t="str">
        <f>INDEX('Priority activities'!$D$5:$D$86,MATCH('Database for analysis'!C445,'Priority activities'!$C$5:$C$86,0))</f>
        <v>Rural and underserved access to FP services</v>
      </c>
    </row>
    <row r="446" spans="2:27" ht="16.5" thickTop="1" thickBot="1" x14ac:dyDescent="0.3">
      <c r="B446" t="s">
        <v>195</v>
      </c>
      <c r="C446" s="22" t="str">
        <f>'Costing inputs'!$C$205</f>
        <v>CBD training (SDA7.2 and 7.3 supplemental)</v>
      </c>
      <c r="D446" s="22" t="str">
        <f>'Costing inputs'!$U$205</f>
        <v>Evenly by province/region</v>
      </c>
      <c r="E446" s="22">
        <f>'Regional splits'!$N$14</f>
        <v>0</v>
      </c>
      <c r="F446">
        <v>0</v>
      </c>
      <c r="G446">
        <v>0</v>
      </c>
      <c r="H446">
        <v>0</v>
      </c>
      <c r="I446">
        <v>0</v>
      </c>
      <c r="J446">
        <v>0</v>
      </c>
      <c r="K446">
        <v>0</v>
      </c>
      <c r="L446">
        <v>0</v>
      </c>
      <c r="M446">
        <v>0</v>
      </c>
      <c r="N446">
        <v>0</v>
      </c>
      <c r="O446">
        <v>0</v>
      </c>
      <c r="P446" s="5">
        <f t="shared" si="68"/>
        <v>0</v>
      </c>
      <c r="Q446">
        <f t="shared" si="69"/>
        <v>0</v>
      </c>
      <c r="R446">
        <f t="shared" si="70"/>
        <v>0</v>
      </c>
      <c r="S446">
        <f t="shared" si="71"/>
        <v>0</v>
      </c>
      <c r="T446">
        <f t="shared" si="72"/>
        <v>0</v>
      </c>
      <c r="U446">
        <f t="shared" si="73"/>
        <v>0</v>
      </c>
      <c r="V446">
        <f t="shared" si="74"/>
        <v>0</v>
      </c>
      <c r="W446">
        <f t="shared" si="75"/>
        <v>0</v>
      </c>
      <c r="X446">
        <f t="shared" si="76"/>
        <v>0</v>
      </c>
      <c r="Y446">
        <f t="shared" si="77"/>
        <v>0</v>
      </c>
      <c r="Z446">
        <f t="shared" si="78"/>
        <v>0</v>
      </c>
      <c r="AA446" t="str">
        <f>INDEX('Priority activities'!$D$5:$D$86,MATCH('Database for analysis'!C446,'Priority activities'!$C$5:$C$86,0))</f>
        <v>Rural and underserved access to FP services</v>
      </c>
    </row>
    <row r="447" spans="2:27" ht="16.5" thickTop="1" thickBot="1" x14ac:dyDescent="0.3">
      <c r="B447" t="s">
        <v>195</v>
      </c>
      <c r="C447" s="22" t="str">
        <f>'Costing inputs'!$C$205</f>
        <v>CBD training (SDA7.2 and 7.3 supplemental)</v>
      </c>
      <c r="D447" s="22" t="str">
        <f>'Costing inputs'!$U$205</f>
        <v>Evenly by province/region</v>
      </c>
      <c r="E447" s="22">
        <f>'Regional splits'!$O$14</f>
        <v>0</v>
      </c>
      <c r="F447">
        <v>0</v>
      </c>
      <c r="G447">
        <v>0</v>
      </c>
      <c r="H447">
        <v>0</v>
      </c>
      <c r="I447">
        <v>0</v>
      </c>
      <c r="J447">
        <v>0</v>
      </c>
      <c r="K447">
        <v>0</v>
      </c>
      <c r="L447">
        <v>0</v>
      </c>
      <c r="M447">
        <v>0</v>
      </c>
      <c r="N447">
        <v>0</v>
      </c>
      <c r="O447">
        <v>0</v>
      </c>
      <c r="P447" s="5">
        <f t="shared" si="68"/>
        <v>0</v>
      </c>
      <c r="Q447">
        <f t="shared" si="69"/>
        <v>0</v>
      </c>
      <c r="R447">
        <f t="shared" si="70"/>
        <v>0</v>
      </c>
      <c r="S447">
        <f t="shared" si="71"/>
        <v>0</v>
      </c>
      <c r="T447">
        <f t="shared" si="72"/>
        <v>0</v>
      </c>
      <c r="U447">
        <f t="shared" si="73"/>
        <v>0</v>
      </c>
      <c r="V447">
        <f t="shared" si="74"/>
        <v>0</v>
      </c>
      <c r="W447">
        <f t="shared" si="75"/>
        <v>0</v>
      </c>
      <c r="X447">
        <f t="shared" si="76"/>
        <v>0</v>
      </c>
      <c r="Y447">
        <f t="shared" si="77"/>
        <v>0</v>
      </c>
      <c r="Z447">
        <f t="shared" si="78"/>
        <v>0</v>
      </c>
      <c r="AA447" t="str">
        <f>INDEX('Priority activities'!$D$5:$D$86,MATCH('Database for analysis'!C447,'Priority activities'!$C$5:$C$86,0))</f>
        <v>Rural and underserved access to FP services</v>
      </c>
    </row>
    <row r="448" spans="2:27" ht="16.5" thickTop="1" thickBot="1" x14ac:dyDescent="0.3">
      <c r="B448" t="s">
        <v>195</v>
      </c>
      <c r="C448" s="22" t="str">
        <f>'Costing inputs'!$C$205</f>
        <v>CBD training (SDA7.2 and 7.3 supplemental)</v>
      </c>
      <c r="D448" s="22" t="str">
        <f>'Costing inputs'!$U$205</f>
        <v>Evenly by province/region</v>
      </c>
      <c r="E448" s="22">
        <f>'Regional splits'!$P$14</f>
        <v>0</v>
      </c>
      <c r="F448">
        <v>0</v>
      </c>
      <c r="G448">
        <v>0</v>
      </c>
      <c r="H448">
        <v>0</v>
      </c>
      <c r="I448">
        <v>0</v>
      </c>
      <c r="J448">
        <v>0</v>
      </c>
      <c r="K448">
        <v>0</v>
      </c>
      <c r="L448">
        <v>0</v>
      </c>
      <c r="M448">
        <v>0</v>
      </c>
      <c r="N448">
        <v>0</v>
      </c>
      <c r="O448">
        <v>0</v>
      </c>
      <c r="P448" s="5">
        <f t="shared" si="68"/>
        <v>0</v>
      </c>
      <c r="Q448">
        <f t="shared" si="69"/>
        <v>0</v>
      </c>
      <c r="R448">
        <f t="shared" si="70"/>
        <v>0</v>
      </c>
      <c r="S448">
        <f t="shared" si="71"/>
        <v>0</v>
      </c>
      <c r="T448">
        <f t="shared" si="72"/>
        <v>0</v>
      </c>
      <c r="U448">
        <f t="shared" si="73"/>
        <v>0</v>
      </c>
      <c r="V448">
        <f t="shared" si="74"/>
        <v>0</v>
      </c>
      <c r="W448">
        <f t="shared" si="75"/>
        <v>0</v>
      </c>
      <c r="X448">
        <f t="shared" si="76"/>
        <v>0</v>
      </c>
      <c r="Y448">
        <f t="shared" si="77"/>
        <v>0</v>
      </c>
      <c r="Z448">
        <f t="shared" si="78"/>
        <v>0</v>
      </c>
      <c r="AA448" t="str">
        <f>INDEX('Priority activities'!$D$5:$D$86,MATCH('Database for analysis'!C448,'Priority activities'!$C$5:$C$86,0))</f>
        <v>Rural and underserved access to FP services</v>
      </c>
    </row>
    <row r="449" spans="2:27" ht="16.5" thickTop="1" thickBot="1" x14ac:dyDescent="0.3">
      <c r="B449" t="s">
        <v>195</v>
      </c>
      <c r="C449" s="22" t="str">
        <f>'Costing inputs'!$C$205</f>
        <v>CBD training (SDA7.2 and 7.3 supplemental)</v>
      </c>
      <c r="D449" s="22" t="str">
        <f>'Costing inputs'!$U$205</f>
        <v>Evenly by province/region</v>
      </c>
      <c r="E449" s="22">
        <f>'Regional splits'!$Q$14</f>
        <v>0</v>
      </c>
      <c r="F449">
        <v>0</v>
      </c>
      <c r="G449">
        <v>0</v>
      </c>
      <c r="H449">
        <v>0</v>
      </c>
      <c r="I449">
        <v>0</v>
      </c>
      <c r="J449">
        <v>0</v>
      </c>
      <c r="K449">
        <v>0</v>
      </c>
      <c r="L449">
        <v>0</v>
      </c>
      <c r="M449">
        <v>0</v>
      </c>
      <c r="N449">
        <v>0</v>
      </c>
      <c r="O449">
        <v>0</v>
      </c>
      <c r="P449" s="5">
        <f t="shared" si="68"/>
        <v>0</v>
      </c>
      <c r="Q449">
        <f t="shared" si="69"/>
        <v>0</v>
      </c>
      <c r="R449">
        <f t="shared" si="70"/>
        <v>0</v>
      </c>
      <c r="S449">
        <f t="shared" si="71"/>
        <v>0</v>
      </c>
      <c r="T449">
        <f t="shared" si="72"/>
        <v>0</v>
      </c>
      <c r="U449">
        <f t="shared" si="73"/>
        <v>0</v>
      </c>
      <c r="V449">
        <f t="shared" si="74"/>
        <v>0</v>
      </c>
      <c r="W449">
        <f t="shared" si="75"/>
        <v>0</v>
      </c>
      <c r="X449">
        <f t="shared" si="76"/>
        <v>0</v>
      </c>
      <c r="Y449">
        <f t="shared" si="77"/>
        <v>0</v>
      </c>
      <c r="Z449">
        <f t="shared" si="78"/>
        <v>0</v>
      </c>
      <c r="AA449" t="str">
        <f>INDEX('Priority activities'!$D$5:$D$86,MATCH('Database for analysis'!C449,'Priority activities'!$C$5:$C$86,0))</f>
        <v>Rural and underserved access to FP services</v>
      </c>
    </row>
    <row r="450" spans="2:27" ht="16.5" thickTop="1" thickBot="1" x14ac:dyDescent="0.3">
      <c r="B450" t="s">
        <v>195</v>
      </c>
      <c r="C450" s="22" t="str">
        <f>'Costing inputs'!$C$205</f>
        <v>CBD training (SDA7.2 and 7.3 supplemental)</v>
      </c>
      <c r="D450" s="22" t="str">
        <f>'Costing inputs'!$U$205</f>
        <v>Evenly by province/region</v>
      </c>
      <c r="E450" s="22" t="str">
        <f>'Regional splits'!$R$14</f>
        <v>National-level</v>
      </c>
      <c r="F450">
        <v>0</v>
      </c>
      <c r="G450">
        <v>0</v>
      </c>
      <c r="H450">
        <v>0</v>
      </c>
      <c r="I450">
        <v>0</v>
      </c>
      <c r="J450">
        <v>0</v>
      </c>
      <c r="K450">
        <v>0</v>
      </c>
      <c r="L450">
        <v>0</v>
      </c>
      <c r="M450">
        <v>0</v>
      </c>
      <c r="N450">
        <v>0</v>
      </c>
      <c r="O450">
        <v>0</v>
      </c>
      <c r="P450" s="5">
        <f t="shared" si="68"/>
        <v>0</v>
      </c>
      <c r="Q450">
        <f t="shared" si="69"/>
        <v>0</v>
      </c>
      <c r="R450">
        <f t="shared" si="70"/>
        <v>0</v>
      </c>
      <c r="S450">
        <f t="shared" si="71"/>
        <v>0</v>
      </c>
      <c r="T450">
        <f t="shared" si="72"/>
        <v>0</v>
      </c>
      <c r="U450">
        <f t="shared" si="73"/>
        <v>0</v>
      </c>
      <c r="V450">
        <f t="shared" si="74"/>
        <v>0</v>
      </c>
      <c r="W450">
        <f t="shared" si="75"/>
        <v>0</v>
      </c>
      <c r="X450">
        <f t="shared" si="76"/>
        <v>0</v>
      </c>
      <c r="Y450">
        <f t="shared" si="77"/>
        <v>0</v>
      </c>
      <c r="Z450">
        <f t="shared" si="78"/>
        <v>0</v>
      </c>
      <c r="AA450" t="str">
        <f>INDEX('Priority activities'!$D$5:$D$86,MATCH('Database for analysis'!C450,'Priority activities'!$C$5:$C$86,0))</f>
        <v>Rural and underserved access to FP services</v>
      </c>
    </row>
    <row r="451" spans="2:27" ht="16.5" thickTop="1" thickBot="1" x14ac:dyDescent="0.3">
      <c r="B451" t="s">
        <v>195</v>
      </c>
      <c r="C451" s="22" t="str">
        <f>'Costing inputs'!$C$210</f>
        <v>CBD amenities - initial (SDA7.1 and 7.2)</v>
      </c>
      <c r="D451" s="22" t="str">
        <f>'Costing inputs'!$U$210</f>
        <v>Evenly by province/region</v>
      </c>
      <c r="E451" s="22" t="str">
        <f>'Regional splits'!$C$14</f>
        <v>Central</v>
      </c>
      <c r="F451">
        <f t="array" ref="F451:O466">'Costing inputs'!S210*'Costing inputs'!AP210:AY210*TRANSPOSE('Costing inputs'!W210:AL210)</f>
        <v>0</v>
      </c>
      <c r="G451">
        <v>19800</v>
      </c>
      <c r="H451">
        <v>19800</v>
      </c>
      <c r="I451">
        <v>19800</v>
      </c>
      <c r="J451">
        <v>19800</v>
      </c>
      <c r="K451">
        <v>19800</v>
      </c>
      <c r="L451">
        <v>19800</v>
      </c>
      <c r="M451">
        <v>19800</v>
      </c>
      <c r="N451">
        <v>0</v>
      </c>
      <c r="O451">
        <v>0</v>
      </c>
      <c r="P451" s="5">
        <f t="shared" si="68"/>
        <v>138600</v>
      </c>
      <c r="Q451">
        <f t="shared" si="69"/>
        <v>0</v>
      </c>
      <c r="R451">
        <f t="shared" si="70"/>
        <v>19800</v>
      </c>
      <c r="S451">
        <f t="shared" si="71"/>
        <v>19800</v>
      </c>
      <c r="T451">
        <f t="shared" si="72"/>
        <v>19800</v>
      </c>
      <c r="U451">
        <f t="shared" si="73"/>
        <v>19800</v>
      </c>
      <c r="V451">
        <f t="shared" si="74"/>
        <v>19800</v>
      </c>
      <c r="W451">
        <f t="shared" si="75"/>
        <v>19800</v>
      </c>
      <c r="X451">
        <f t="shared" si="76"/>
        <v>19800</v>
      </c>
      <c r="Y451">
        <f t="shared" si="77"/>
        <v>0</v>
      </c>
      <c r="Z451">
        <f t="shared" si="78"/>
        <v>0</v>
      </c>
      <c r="AA451" t="str">
        <f>INDEX('Priority activities'!$D$5:$D$86,MATCH('Database for analysis'!C451,'Priority activities'!$C$5:$C$86,0))</f>
        <v>Rural and underserved access to FP services</v>
      </c>
    </row>
    <row r="452" spans="2:27" ht="16.5" thickTop="1" thickBot="1" x14ac:dyDescent="0.3">
      <c r="B452" t="s">
        <v>195</v>
      </c>
      <c r="C452" s="22" t="str">
        <f>'Costing inputs'!$C$210</f>
        <v>CBD amenities - initial (SDA7.1 and 7.2)</v>
      </c>
      <c r="D452" s="22" t="str">
        <f>'Costing inputs'!$U$210</f>
        <v>Evenly by province/region</v>
      </c>
      <c r="E452" s="22" t="str">
        <f>'Regional splits'!$D$14</f>
        <v>Copperbelt</v>
      </c>
      <c r="F452">
        <v>0</v>
      </c>
      <c r="G452">
        <v>19800</v>
      </c>
      <c r="H452">
        <v>19800</v>
      </c>
      <c r="I452">
        <v>19800</v>
      </c>
      <c r="J452">
        <v>19800</v>
      </c>
      <c r="K452">
        <v>19800</v>
      </c>
      <c r="L452">
        <v>19800</v>
      </c>
      <c r="M452">
        <v>19800</v>
      </c>
      <c r="N452">
        <v>0</v>
      </c>
      <c r="O452">
        <v>0</v>
      </c>
      <c r="P452" s="5">
        <f t="shared" ref="P452:P515" si="79">SUMIF(F452:O452,"&lt;&gt;#N/A")</f>
        <v>138600</v>
      </c>
      <c r="Q452">
        <f t="shared" ref="Q452:Q515" si="80">IF(ISNA(F452),0,F452)</f>
        <v>0</v>
      </c>
      <c r="R452">
        <f t="shared" ref="R452:R515" si="81">IF(ISNA(G452),0,G452)</f>
        <v>19800</v>
      </c>
      <c r="S452">
        <f t="shared" ref="S452:S515" si="82">IF(ISNA(H452),0,H452)</f>
        <v>19800</v>
      </c>
      <c r="T452">
        <f t="shared" ref="T452:T515" si="83">IF(ISNA(I452),0,I452)</f>
        <v>19800</v>
      </c>
      <c r="U452">
        <f t="shared" ref="U452:U515" si="84">IF(ISNA(J452),0,J452)</f>
        <v>19800</v>
      </c>
      <c r="V452">
        <f t="shared" ref="V452:V515" si="85">IF(ISNA(K452),0,K452)</f>
        <v>19800</v>
      </c>
      <c r="W452">
        <f t="shared" ref="W452:W515" si="86">IF(ISNA(L452),0,L452)</f>
        <v>19800</v>
      </c>
      <c r="X452">
        <f t="shared" ref="X452:X515" si="87">IF(ISNA(M452),0,M452)</f>
        <v>19800</v>
      </c>
      <c r="Y452">
        <f t="shared" ref="Y452:Y515" si="88">IF(ISNA(N452),0,N452)</f>
        <v>0</v>
      </c>
      <c r="Z452">
        <f t="shared" ref="Z452:Z515" si="89">IF(ISNA(O452),0,O452)</f>
        <v>0</v>
      </c>
      <c r="AA452" t="str">
        <f>INDEX('Priority activities'!$D$5:$D$86,MATCH('Database for analysis'!C452,'Priority activities'!$C$5:$C$86,0))</f>
        <v>Rural and underserved access to FP services</v>
      </c>
    </row>
    <row r="453" spans="2:27" ht="16.5" thickTop="1" thickBot="1" x14ac:dyDescent="0.3">
      <c r="B453" t="s">
        <v>195</v>
      </c>
      <c r="C453" s="22" t="str">
        <f>'Costing inputs'!$C$210</f>
        <v>CBD amenities - initial (SDA7.1 and 7.2)</v>
      </c>
      <c r="D453" s="22" t="str">
        <f>'Costing inputs'!$U$210</f>
        <v>Evenly by province/region</v>
      </c>
      <c r="E453" s="22" t="str">
        <f>'Regional splits'!$E$14</f>
        <v>Eastern</v>
      </c>
      <c r="F453">
        <v>0</v>
      </c>
      <c r="G453">
        <v>19800</v>
      </c>
      <c r="H453">
        <v>19800</v>
      </c>
      <c r="I453">
        <v>19800</v>
      </c>
      <c r="J453">
        <v>19800</v>
      </c>
      <c r="K453">
        <v>19800</v>
      </c>
      <c r="L453">
        <v>19800</v>
      </c>
      <c r="M453">
        <v>19800</v>
      </c>
      <c r="N453">
        <v>0</v>
      </c>
      <c r="O453">
        <v>0</v>
      </c>
      <c r="P453" s="5">
        <f t="shared" si="79"/>
        <v>138600</v>
      </c>
      <c r="Q453">
        <f t="shared" si="80"/>
        <v>0</v>
      </c>
      <c r="R453">
        <f t="shared" si="81"/>
        <v>19800</v>
      </c>
      <c r="S453">
        <f t="shared" si="82"/>
        <v>19800</v>
      </c>
      <c r="T453">
        <f t="shared" si="83"/>
        <v>19800</v>
      </c>
      <c r="U453">
        <f t="shared" si="84"/>
        <v>19800</v>
      </c>
      <c r="V453">
        <f t="shared" si="85"/>
        <v>19800</v>
      </c>
      <c r="W453">
        <f t="shared" si="86"/>
        <v>19800</v>
      </c>
      <c r="X453">
        <f t="shared" si="87"/>
        <v>19800</v>
      </c>
      <c r="Y453">
        <f t="shared" si="88"/>
        <v>0</v>
      </c>
      <c r="Z453">
        <f t="shared" si="89"/>
        <v>0</v>
      </c>
      <c r="AA453" t="str">
        <f>INDEX('Priority activities'!$D$5:$D$86,MATCH('Database for analysis'!C453,'Priority activities'!$C$5:$C$86,0))</f>
        <v>Rural and underserved access to FP services</v>
      </c>
    </row>
    <row r="454" spans="2:27" ht="16.5" thickTop="1" thickBot="1" x14ac:dyDescent="0.3">
      <c r="B454" t="s">
        <v>195</v>
      </c>
      <c r="C454" s="22" t="str">
        <f>'Costing inputs'!$C$210</f>
        <v>CBD amenities - initial (SDA7.1 and 7.2)</v>
      </c>
      <c r="D454" s="22" t="str">
        <f>'Costing inputs'!$U$210</f>
        <v>Evenly by province/region</v>
      </c>
      <c r="E454" s="22" t="str">
        <f>'Regional splits'!$F$14</f>
        <v>Luapula</v>
      </c>
      <c r="F454">
        <v>0</v>
      </c>
      <c r="G454">
        <v>19800</v>
      </c>
      <c r="H454">
        <v>19800</v>
      </c>
      <c r="I454">
        <v>19800</v>
      </c>
      <c r="J454">
        <v>19800</v>
      </c>
      <c r="K454">
        <v>19800</v>
      </c>
      <c r="L454">
        <v>19800</v>
      </c>
      <c r="M454">
        <v>19800</v>
      </c>
      <c r="N454">
        <v>0</v>
      </c>
      <c r="O454">
        <v>0</v>
      </c>
      <c r="P454" s="5">
        <f t="shared" si="79"/>
        <v>138600</v>
      </c>
      <c r="Q454">
        <f t="shared" si="80"/>
        <v>0</v>
      </c>
      <c r="R454">
        <f t="shared" si="81"/>
        <v>19800</v>
      </c>
      <c r="S454">
        <f t="shared" si="82"/>
        <v>19800</v>
      </c>
      <c r="T454">
        <f t="shared" si="83"/>
        <v>19800</v>
      </c>
      <c r="U454">
        <f t="shared" si="84"/>
        <v>19800</v>
      </c>
      <c r="V454">
        <f t="shared" si="85"/>
        <v>19800</v>
      </c>
      <c r="W454">
        <f t="shared" si="86"/>
        <v>19800</v>
      </c>
      <c r="X454">
        <f t="shared" si="87"/>
        <v>19800</v>
      </c>
      <c r="Y454">
        <f t="shared" si="88"/>
        <v>0</v>
      </c>
      <c r="Z454">
        <f t="shared" si="89"/>
        <v>0</v>
      </c>
      <c r="AA454" t="str">
        <f>INDEX('Priority activities'!$D$5:$D$86,MATCH('Database for analysis'!C454,'Priority activities'!$C$5:$C$86,0))</f>
        <v>Rural and underserved access to FP services</v>
      </c>
    </row>
    <row r="455" spans="2:27" ht="16.5" thickTop="1" thickBot="1" x14ac:dyDescent="0.3">
      <c r="B455" t="s">
        <v>195</v>
      </c>
      <c r="C455" s="22" t="str">
        <f>'Costing inputs'!$C$210</f>
        <v>CBD amenities - initial (SDA7.1 and 7.2)</v>
      </c>
      <c r="D455" s="22" t="str">
        <f>'Costing inputs'!$U$210</f>
        <v>Evenly by province/region</v>
      </c>
      <c r="E455" s="22" t="str">
        <f>'Regional splits'!$G$14</f>
        <v>Lusaka</v>
      </c>
      <c r="F455">
        <v>0</v>
      </c>
      <c r="G455">
        <v>19800</v>
      </c>
      <c r="H455">
        <v>19800</v>
      </c>
      <c r="I455">
        <v>19800</v>
      </c>
      <c r="J455">
        <v>19800</v>
      </c>
      <c r="K455">
        <v>19800</v>
      </c>
      <c r="L455">
        <v>19800</v>
      </c>
      <c r="M455">
        <v>19800</v>
      </c>
      <c r="N455">
        <v>0</v>
      </c>
      <c r="O455">
        <v>0</v>
      </c>
      <c r="P455" s="5">
        <f t="shared" si="79"/>
        <v>138600</v>
      </c>
      <c r="Q455">
        <f t="shared" si="80"/>
        <v>0</v>
      </c>
      <c r="R455">
        <f t="shared" si="81"/>
        <v>19800</v>
      </c>
      <c r="S455">
        <f t="shared" si="82"/>
        <v>19800</v>
      </c>
      <c r="T455">
        <f t="shared" si="83"/>
        <v>19800</v>
      </c>
      <c r="U455">
        <f t="shared" si="84"/>
        <v>19800</v>
      </c>
      <c r="V455">
        <f t="shared" si="85"/>
        <v>19800</v>
      </c>
      <c r="W455">
        <f t="shared" si="86"/>
        <v>19800</v>
      </c>
      <c r="X455">
        <f t="shared" si="87"/>
        <v>19800</v>
      </c>
      <c r="Y455">
        <f t="shared" si="88"/>
        <v>0</v>
      </c>
      <c r="Z455">
        <f t="shared" si="89"/>
        <v>0</v>
      </c>
      <c r="AA455" t="str">
        <f>INDEX('Priority activities'!$D$5:$D$86,MATCH('Database for analysis'!C455,'Priority activities'!$C$5:$C$86,0))</f>
        <v>Rural and underserved access to FP services</v>
      </c>
    </row>
    <row r="456" spans="2:27" ht="16.5" thickTop="1" thickBot="1" x14ac:dyDescent="0.3">
      <c r="B456" t="s">
        <v>195</v>
      </c>
      <c r="C456" s="22" t="str">
        <f>'Costing inputs'!$C$210</f>
        <v>CBD amenities - initial (SDA7.1 and 7.2)</v>
      </c>
      <c r="D456" s="22" t="str">
        <f>'Costing inputs'!$U$210</f>
        <v>Evenly by province/region</v>
      </c>
      <c r="E456" s="22" t="str">
        <f>'Regional splits'!$H$14</f>
        <v>Muchinga</v>
      </c>
      <c r="F456">
        <v>0</v>
      </c>
      <c r="G456">
        <v>19800</v>
      </c>
      <c r="H456">
        <v>19800</v>
      </c>
      <c r="I456">
        <v>19800</v>
      </c>
      <c r="J456">
        <v>19800</v>
      </c>
      <c r="K456">
        <v>19800</v>
      </c>
      <c r="L456">
        <v>19800</v>
      </c>
      <c r="M456">
        <v>19800</v>
      </c>
      <c r="N456">
        <v>0</v>
      </c>
      <c r="O456">
        <v>0</v>
      </c>
      <c r="P456" s="5">
        <f t="shared" si="79"/>
        <v>138600</v>
      </c>
      <c r="Q456">
        <f t="shared" si="80"/>
        <v>0</v>
      </c>
      <c r="R456">
        <f t="shared" si="81"/>
        <v>19800</v>
      </c>
      <c r="S456">
        <f t="shared" si="82"/>
        <v>19800</v>
      </c>
      <c r="T456">
        <f t="shared" si="83"/>
        <v>19800</v>
      </c>
      <c r="U456">
        <f t="shared" si="84"/>
        <v>19800</v>
      </c>
      <c r="V456">
        <f t="shared" si="85"/>
        <v>19800</v>
      </c>
      <c r="W456">
        <f t="shared" si="86"/>
        <v>19800</v>
      </c>
      <c r="X456">
        <f t="shared" si="87"/>
        <v>19800</v>
      </c>
      <c r="Y456">
        <f t="shared" si="88"/>
        <v>0</v>
      </c>
      <c r="Z456">
        <f t="shared" si="89"/>
        <v>0</v>
      </c>
      <c r="AA456" t="str">
        <f>INDEX('Priority activities'!$D$5:$D$86,MATCH('Database for analysis'!C456,'Priority activities'!$C$5:$C$86,0))</f>
        <v>Rural and underserved access to FP services</v>
      </c>
    </row>
    <row r="457" spans="2:27" ht="16.5" thickTop="1" thickBot="1" x14ac:dyDescent="0.3">
      <c r="B457" t="s">
        <v>195</v>
      </c>
      <c r="C457" s="22" t="str">
        <f>'Costing inputs'!$C$210</f>
        <v>CBD amenities - initial (SDA7.1 and 7.2)</v>
      </c>
      <c r="D457" s="22" t="str">
        <f>'Costing inputs'!$U$210</f>
        <v>Evenly by province/region</v>
      </c>
      <c r="E457" s="22" t="str">
        <f>'Regional splits'!$I$14</f>
        <v>Northern</v>
      </c>
      <c r="F457">
        <v>0</v>
      </c>
      <c r="G457">
        <v>19800</v>
      </c>
      <c r="H457">
        <v>19800</v>
      </c>
      <c r="I457">
        <v>19800</v>
      </c>
      <c r="J457">
        <v>19800</v>
      </c>
      <c r="K457">
        <v>19800</v>
      </c>
      <c r="L457">
        <v>19800</v>
      </c>
      <c r="M457">
        <v>19800</v>
      </c>
      <c r="N457">
        <v>0</v>
      </c>
      <c r="O457">
        <v>0</v>
      </c>
      <c r="P457" s="5">
        <f t="shared" si="79"/>
        <v>138600</v>
      </c>
      <c r="Q457">
        <f t="shared" si="80"/>
        <v>0</v>
      </c>
      <c r="R457">
        <f t="shared" si="81"/>
        <v>19800</v>
      </c>
      <c r="S457">
        <f t="shared" si="82"/>
        <v>19800</v>
      </c>
      <c r="T457">
        <f t="shared" si="83"/>
        <v>19800</v>
      </c>
      <c r="U457">
        <f t="shared" si="84"/>
        <v>19800</v>
      </c>
      <c r="V457">
        <f t="shared" si="85"/>
        <v>19800</v>
      </c>
      <c r="W457">
        <f t="shared" si="86"/>
        <v>19800</v>
      </c>
      <c r="X457">
        <f t="shared" si="87"/>
        <v>19800</v>
      </c>
      <c r="Y457">
        <f t="shared" si="88"/>
        <v>0</v>
      </c>
      <c r="Z457">
        <f t="shared" si="89"/>
        <v>0</v>
      </c>
      <c r="AA457" t="str">
        <f>INDEX('Priority activities'!$D$5:$D$86,MATCH('Database for analysis'!C457,'Priority activities'!$C$5:$C$86,0))</f>
        <v>Rural and underserved access to FP services</v>
      </c>
    </row>
    <row r="458" spans="2:27" ht="16.5" thickTop="1" thickBot="1" x14ac:dyDescent="0.3">
      <c r="B458" t="s">
        <v>195</v>
      </c>
      <c r="C458" s="22" t="str">
        <f>'Costing inputs'!$C$210</f>
        <v>CBD amenities - initial (SDA7.1 and 7.2)</v>
      </c>
      <c r="D458" s="22" t="str">
        <f>'Costing inputs'!$U$210</f>
        <v>Evenly by province/region</v>
      </c>
      <c r="E458" s="22" t="str">
        <f>'Regional splits'!$J$14</f>
        <v>North Western</v>
      </c>
      <c r="F458">
        <v>0</v>
      </c>
      <c r="G458">
        <v>19800</v>
      </c>
      <c r="H458">
        <v>19800</v>
      </c>
      <c r="I458">
        <v>19800</v>
      </c>
      <c r="J458">
        <v>19800</v>
      </c>
      <c r="K458">
        <v>19800</v>
      </c>
      <c r="L458">
        <v>19800</v>
      </c>
      <c r="M458">
        <v>19800</v>
      </c>
      <c r="N458">
        <v>0</v>
      </c>
      <c r="O458">
        <v>0</v>
      </c>
      <c r="P458" s="5">
        <f t="shared" si="79"/>
        <v>138600</v>
      </c>
      <c r="Q458">
        <f t="shared" si="80"/>
        <v>0</v>
      </c>
      <c r="R458">
        <f t="shared" si="81"/>
        <v>19800</v>
      </c>
      <c r="S458">
        <f t="shared" si="82"/>
        <v>19800</v>
      </c>
      <c r="T458">
        <f t="shared" si="83"/>
        <v>19800</v>
      </c>
      <c r="U458">
        <f t="shared" si="84"/>
        <v>19800</v>
      </c>
      <c r="V458">
        <f t="shared" si="85"/>
        <v>19800</v>
      </c>
      <c r="W458">
        <f t="shared" si="86"/>
        <v>19800</v>
      </c>
      <c r="X458">
        <f t="shared" si="87"/>
        <v>19800</v>
      </c>
      <c r="Y458">
        <f t="shared" si="88"/>
        <v>0</v>
      </c>
      <c r="Z458">
        <f t="shared" si="89"/>
        <v>0</v>
      </c>
      <c r="AA458" t="str">
        <f>INDEX('Priority activities'!$D$5:$D$86,MATCH('Database for analysis'!C458,'Priority activities'!$C$5:$C$86,0))</f>
        <v>Rural and underserved access to FP services</v>
      </c>
    </row>
    <row r="459" spans="2:27" ht="16.5" thickTop="1" thickBot="1" x14ac:dyDescent="0.3">
      <c r="B459" t="s">
        <v>195</v>
      </c>
      <c r="C459" s="22" t="str">
        <f>'Costing inputs'!$C$210</f>
        <v>CBD amenities - initial (SDA7.1 and 7.2)</v>
      </c>
      <c r="D459" s="22" t="str">
        <f>'Costing inputs'!$U$210</f>
        <v>Evenly by province/region</v>
      </c>
      <c r="E459" s="22" t="str">
        <f>'Regional splits'!$K$14</f>
        <v>Southern</v>
      </c>
      <c r="F459">
        <v>0</v>
      </c>
      <c r="G459">
        <v>19800</v>
      </c>
      <c r="H459">
        <v>19800</v>
      </c>
      <c r="I459">
        <v>19800</v>
      </c>
      <c r="J459">
        <v>19800</v>
      </c>
      <c r="K459">
        <v>19800</v>
      </c>
      <c r="L459">
        <v>19800</v>
      </c>
      <c r="M459">
        <v>19800</v>
      </c>
      <c r="N459">
        <v>0</v>
      </c>
      <c r="O459">
        <v>0</v>
      </c>
      <c r="P459" s="5">
        <f t="shared" si="79"/>
        <v>138600</v>
      </c>
      <c r="Q459">
        <f t="shared" si="80"/>
        <v>0</v>
      </c>
      <c r="R459">
        <f t="shared" si="81"/>
        <v>19800</v>
      </c>
      <c r="S459">
        <f t="shared" si="82"/>
        <v>19800</v>
      </c>
      <c r="T459">
        <f t="shared" si="83"/>
        <v>19800</v>
      </c>
      <c r="U459">
        <f t="shared" si="84"/>
        <v>19800</v>
      </c>
      <c r="V459">
        <f t="shared" si="85"/>
        <v>19800</v>
      </c>
      <c r="W459">
        <f t="shared" si="86"/>
        <v>19800</v>
      </c>
      <c r="X459">
        <f t="shared" si="87"/>
        <v>19800</v>
      </c>
      <c r="Y459">
        <f t="shared" si="88"/>
        <v>0</v>
      </c>
      <c r="Z459">
        <f t="shared" si="89"/>
        <v>0</v>
      </c>
      <c r="AA459" t="str">
        <f>INDEX('Priority activities'!$D$5:$D$86,MATCH('Database for analysis'!C459,'Priority activities'!$C$5:$C$86,0))</f>
        <v>Rural and underserved access to FP services</v>
      </c>
    </row>
    <row r="460" spans="2:27" ht="16.5" thickTop="1" thickBot="1" x14ac:dyDescent="0.3">
      <c r="B460" t="s">
        <v>195</v>
      </c>
      <c r="C460" s="22" t="str">
        <f>'Costing inputs'!$C$210</f>
        <v>CBD amenities - initial (SDA7.1 and 7.2)</v>
      </c>
      <c r="D460" s="22" t="str">
        <f>'Costing inputs'!$U$210</f>
        <v>Evenly by province/region</v>
      </c>
      <c r="E460" s="22" t="str">
        <f>'Regional splits'!$L$14</f>
        <v>Western</v>
      </c>
      <c r="F460">
        <v>0</v>
      </c>
      <c r="G460">
        <v>19800</v>
      </c>
      <c r="H460">
        <v>19800</v>
      </c>
      <c r="I460">
        <v>19800</v>
      </c>
      <c r="J460">
        <v>19800</v>
      </c>
      <c r="K460">
        <v>19800</v>
      </c>
      <c r="L460">
        <v>19800</v>
      </c>
      <c r="M460">
        <v>19800</v>
      </c>
      <c r="N460">
        <v>0</v>
      </c>
      <c r="O460">
        <v>0</v>
      </c>
      <c r="P460" s="5">
        <f t="shared" si="79"/>
        <v>138600</v>
      </c>
      <c r="Q460">
        <f t="shared" si="80"/>
        <v>0</v>
      </c>
      <c r="R460">
        <f t="shared" si="81"/>
        <v>19800</v>
      </c>
      <c r="S460">
        <f t="shared" si="82"/>
        <v>19800</v>
      </c>
      <c r="T460">
        <f t="shared" si="83"/>
        <v>19800</v>
      </c>
      <c r="U460">
        <f t="shared" si="84"/>
        <v>19800</v>
      </c>
      <c r="V460">
        <f t="shared" si="85"/>
        <v>19800</v>
      </c>
      <c r="W460">
        <f t="shared" si="86"/>
        <v>19800</v>
      </c>
      <c r="X460">
        <f t="shared" si="87"/>
        <v>19800</v>
      </c>
      <c r="Y460">
        <f t="shared" si="88"/>
        <v>0</v>
      </c>
      <c r="Z460">
        <f t="shared" si="89"/>
        <v>0</v>
      </c>
      <c r="AA460" t="str">
        <f>INDEX('Priority activities'!$D$5:$D$86,MATCH('Database for analysis'!C460,'Priority activities'!$C$5:$C$86,0))</f>
        <v>Rural and underserved access to FP services</v>
      </c>
    </row>
    <row r="461" spans="2:27" ht="16.5" thickTop="1" thickBot="1" x14ac:dyDescent="0.3">
      <c r="B461" t="s">
        <v>195</v>
      </c>
      <c r="C461" s="22" t="str">
        <f>'Costing inputs'!$C$210</f>
        <v>CBD amenities - initial (SDA7.1 and 7.2)</v>
      </c>
      <c r="D461" s="22" t="str">
        <f>'Costing inputs'!$U$210</f>
        <v>Evenly by province/region</v>
      </c>
      <c r="E461" s="22">
        <f>'Regional splits'!$M$14</f>
        <v>0</v>
      </c>
      <c r="F461">
        <v>0</v>
      </c>
      <c r="G461">
        <v>0</v>
      </c>
      <c r="H461">
        <v>0</v>
      </c>
      <c r="I461">
        <v>0</v>
      </c>
      <c r="J461">
        <v>0</v>
      </c>
      <c r="K461">
        <v>0</v>
      </c>
      <c r="L461">
        <v>0</v>
      </c>
      <c r="M461">
        <v>0</v>
      </c>
      <c r="N461">
        <v>0</v>
      </c>
      <c r="O461">
        <v>0</v>
      </c>
      <c r="P461" s="5">
        <f t="shared" si="79"/>
        <v>0</v>
      </c>
      <c r="Q461">
        <f t="shared" si="80"/>
        <v>0</v>
      </c>
      <c r="R461">
        <f t="shared" si="81"/>
        <v>0</v>
      </c>
      <c r="S461">
        <f t="shared" si="82"/>
        <v>0</v>
      </c>
      <c r="T461">
        <f t="shared" si="83"/>
        <v>0</v>
      </c>
      <c r="U461">
        <f t="shared" si="84"/>
        <v>0</v>
      </c>
      <c r="V461">
        <f t="shared" si="85"/>
        <v>0</v>
      </c>
      <c r="W461">
        <f t="shared" si="86"/>
        <v>0</v>
      </c>
      <c r="X461">
        <f t="shared" si="87"/>
        <v>0</v>
      </c>
      <c r="Y461">
        <f t="shared" si="88"/>
        <v>0</v>
      </c>
      <c r="Z461">
        <f t="shared" si="89"/>
        <v>0</v>
      </c>
      <c r="AA461" t="str">
        <f>INDEX('Priority activities'!$D$5:$D$86,MATCH('Database for analysis'!C461,'Priority activities'!$C$5:$C$86,0))</f>
        <v>Rural and underserved access to FP services</v>
      </c>
    </row>
    <row r="462" spans="2:27" ht="16.5" thickTop="1" thickBot="1" x14ac:dyDescent="0.3">
      <c r="B462" t="s">
        <v>195</v>
      </c>
      <c r="C462" s="22" t="str">
        <f>'Costing inputs'!$C$210</f>
        <v>CBD amenities - initial (SDA7.1 and 7.2)</v>
      </c>
      <c r="D462" s="22" t="str">
        <f>'Costing inputs'!$U$210</f>
        <v>Evenly by province/region</v>
      </c>
      <c r="E462" s="22">
        <f>'Regional splits'!$N$14</f>
        <v>0</v>
      </c>
      <c r="F462">
        <v>0</v>
      </c>
      <c r="G462">
        <v>0</v>
      </c>
      <c r="H462">
        <v>0</v>
      </c>
      <c r="I462">
        <v>0</v>
      </c>
      <c r="J462">
        <v>0</v>
      </c>
      <c r="K462">
        <v>0</v>
      </c>
      <c r="L462">
        <v>0</v>
      </c>
      <c r="M462">
        <v>0</v>
      </c>
      <c r="N462">
        <v>0</v>
      </c>
      <c r="O462">
        <v>0</v>
      </c>
      <c r="P462" s="5">
        <f t="shared" si="79"/>
        <v>0</v>
      </c>
      <c r="Q462">
        <f t="shared" si="80"/>
        <v>0</v>
      </c>
      <c r="R462">
        <f t="shared" si="81"/>
        <v>0</v>
      </c>
      <c r="S462">
        <f t="shared" si="82"/>
        <v>0</v>
      </c>
      <c r="T462">
        <f t="shared" si="83"/>
        <v>0</v>
      </c>
      <c r="U462">
        <f t="shared" si="84"/>
        <v>0</v>
      </c>
      <c r="V462">
        <f t="shared" si="85"/>
        <v>0</v>
      </c>
      <c r="W462">
        <f t="shared" si="86"/>
        <v>0</v>
      </c>
      <c r="X462">
        <f t="shared" si="87"/>
        <v>0</v>
      </c>
      <c r="Y462">
        <f t="shared" si="88"/>
        <v>0</v>
      </c>
      <c r="Z462">
        <f t="shared" si="89"/>
        <v>0</v>
      </c>
      <c r="AA462" t="str">
        <f>INDEX('Priority activities'!$D$5:$D$86,MATCH('Database for analysis'!C462,'Priority activities'!$C$5:$C$86,0))</f>
        <v>Rural and underserved access to FP services</v>
      </c>
    </row>
    <row r="463" spans="2:27" ht="16.5" thickTop="1" thickBot="1" x14ac:dyDescent="0.3">
      <c r="B463" t="s">
        <v>195</v>
      </c>
      <c r="C463" s="22" t="str">
        <f>'Costing inputs'!$C$210</f>
        <v>CBD amenities - initial (SDA7.1 and 7.2)</v>
      </c>
      <c r="D463" s="22" t="str">
        <f>'Costing inputs'!$U$210</f>
        <v>Evenly by province/region</v>
      </c>
      <c r="E463" s="22">
        <f>'Regional splits'!$O$14</f>
        <v>0</v>
      </c>
      <c r="F463">
        <v>0</v>
      </c>
      <c r="G463">
        <v>0</v>
      </c>
      <c r="H463">
        <v>0</v>
      </c>
      <c r="I463">
        <v>0</v>
      </c>
      <c r="J463">
        <v>0</v>
      </c>
      <c r="K463">
        <v>0</v>
      </c>
      <c r="L463">
        <v>0</v>
      </c>
      <c r="M463">
        <v>0</v>
      </c>
      <c r="N463">
        <v>0</v>
      </c>
      <c r="O463">
        <v>0</v>
      </c>
      <c r="P463" s="5">
        <f t="shared" si="79"/>
        <v>0</v>
      </c>
      <c r="Q463">
        <f t="shared" si="80"/>
        <v>0</v>
      </c>
      <c r="R463">
        <f t="shared" si="81"/>
        <v>0</v>
      </c>
      <c r="S463">
        <f t="shared" si="82"/>
        <v>0</v>
      </c>
      <c r="T463">
        <f t="shared" si="83"/>
        <v>0</v>
      </c>
      <c r="U463">
        <f t="shared" si="84"/>
        <v>0</v>
      </c>
      <c r="V463">
        <f t="shared" si="85"/>
        <v>0</v>
      </c>
      <c r="W463">
        <f t="shared" si="86"/>
        <v>0</v>
      </c>
      <c r="X463">
        <f t="shared" si="87"/>
        <v>0</v>
      </c>
      <c r="Y463">
        <f t="shared" si="88"/>
        <v>0</v>
      </c>
      <c r="Z463">
        <f t="shared" si="89"/>
        <v>0</v>
      </c>
      <c r="AA463" t="str">
        <f>INDEX('Priority activities'!$D$5:$D$86,MATCH('Database for analysis'!C463,'Priority activities'!$C$5:$C$86,0))</f>
        <v>Rural and underserved access to FP services</v>
      </c>
    </row>
    <row r="464" spans="2:27" ht="16.5" thickTop="1" thickBot="1" x14ac:dyDescent="0.3">
      <c r="B464" t="s">
        <v>195</v>
      </c>
      <c r="C464" s="22" t="str">
        <f>'Costing inputs'!$C$210</f>
        <v>CBD amenities - initial (SDA7.1 and 7.2)</v>
      </c>
      <c r="D464" s="22" t="str">
        <f>'Costing inputs'!$U$210</f>
        <v>Evenly by province/region</v>
      </c>
      <c r="E464" s="22">
        <f>'Regional splits'!$P$14</f>
        <v>0</v>
      </c>
      <c r="F464">
        <v>0</v>
      </c>
      <c r="G464">
        <v>0</v>
      </c>
      <c r="H464">
        <v>0</v>
      </c>
      <c r="I464">
        <v>0</v>
      </c>
      <c r="J464">
        <v>0</v>
      </c>
      <c r="K464">
        <v>0</v>
      </c>
      <c r="L464">
        <v>0</v>
      </c>
      <c r="M464">
        <v>0</v>
      </c>
      <c r="N464">
        <v>0</v>
      </c>
      <c r="O464">
        <v>0</v>
      </c>
      <c r="P464" s="5">
        <f t="shared" si="79"/>
        <v>0</v>
      </c>
      <c r="Q464">
        <f t="shared" si="80"/>
        <v>0</v>
      </c>
      <c r="R464">
        <f t="shared" si="81"/>
        <v>0</v>
      </c>
      <c r="S464">
        <f t="shared" si="82"/>
        <v>0</v>
      </c>
      <c r="T464">
        <f t="shared" si="83"/>
        <v>0</v>
      </c>
      <c r="U464">
        <f t="shared" si="84"/>
        <v>0</v>
      </c>
      <c r="V464">
        <f t="shared" si="85"/>
        <v>0</v>
      </c>
      <c r="W464">
        <f t="shared" si="86"/>
        <v>0</v>
      </c>
      <c r="X464">
        <f t="shared" si="87"/>
        <v>0</v>
      </c>
      <c r="Y464">
        <f t="shared" si="88"/>
        <v>0</v>
      </c>
      <c r="Z464">
        <f t="shared" si="89"/>
        <v>0</v>
      </c>
      <c r="AA464" t="str">
        <f>INDEX('Priority activities'!$D$5:$D$86,MATCH('Database for analysis'!C464,'Priority activities'!$C$5:$C$86,0))</f>
        <v>Rural and underserved access to FP services</v>
      </c>
    </row>
    <row r="465" spans="2:27" ht="16.5" thickTop="1" thickBot="1" x14ac:dyDescent="0.3">
      <c r="B465" t="s">
        <v>195</v>
      </c>
      <c r="C465" s="22" t="str">
        <f>'Costing inputs'!$C$210</f>
        <v>CBD amenities - initial (SDA7.1 and 7.2)</v>
      </c>
      <c r="D465" s="22" t="str">
        <f>'Costing inputs'!$U$210</f>
        <v>Evenly by province/region</v>
      </c>
      <c r="E465" s="22">
        <f>'Regional splits'!$Q$14</f>
        <v>0</v>
      </c>
      <c r="F465">
        <v>0</v>
      </c>
      <c r="G465">
        <v>0</v>
      </c>
      <c r="H465">
        <v>0</v>
      </c>
      <c r="I465">
        <v>0</v>
      </c>
      <c r="J465">
        <v>0</v>
      </c>
      <c r="K465">
        <v>0</v>
      </c>
      <c r="L465">
        <v>0</v>
      </c>
      <c r="M465">
        <v>0</v>
      </c>
      <c r="N465">
        <v>0</v>
      </c>
      <c r="O465">
        <v>0</v>
      </c>
      <c r="P465" s="5">
        <f t="shared" si="79"/>
        <v>0</v>
      </c>
      <c r="Q465">
        <f t="shared" si="80"/>
        <v>0</v>
      </c>
      <c r="R465">
        <f t="shared" si="81"/>
        <v>0</v>
      </c>
      <c r="S465">
        <f t="shared" si="82"/>
        <v>0</v>
      </c>
      <c r="T465">
        <f t="shared" si="83"/>
        <v>0</v>
      </c>
      <c r="U465">
        <f t="shared" si="84"/>
        <v>0</v>
      </c>
      <c r="V465">
        <f t="shared" si="85"/>
        <v>0</v>
      </c>
      <c r="W465">
        <f t="shared" si="86"/>
        <v>0</v>
      </c>
      <c r="X465">
        <f t="shared" si="87"/>
        <v>0</v>
      </c>
      <c r="Y465">
        <f t="shared" si="88"/>
        <v>0</v>
      </c>
      <c r="Z465">
        <f t="shared" si="89"/>
        <v>0</v>
      </c>
      <c r="AA465" t="str">
        <f>INDEX('Priority activities'!$D$5:$D$86,MATCH('Database for analysis'!C465,'Priority activities'!$C$5:$C$86,0))</f>
        <v>Rural and underserved access to FP services</v>
      </c>
    </row>
    <row r="466" spans="2:27" ht="16.5" thickTop="1" thickBot="1" x14ac:dyDescent="0.3">
      <c r="B466" t="s">
        <v>195</v>
      </c>
      <c r="C466" s="22" t="str">
        <f>'Costing inputs'!$C$210</f>
        <v>CBD amenities - initial (SDA7.1 and 7.2)</v>
      </c>
      <c r="D466" s="22" t="str">
        <f>'Costing inputs'!$U$210</f>
        <v>Evenly by province/region</v>
      </c>
      <c r="E466" s="22" t="str">
        <f>'Regional splits'!$R$14</f>
        <v>National-level</v>
      </c>
      <c r="F466">
        <v>0</v>
      </c>
      <c r="G466">
        <v>0</v>
      </c>
      <c r="H466">
        <v>0</v>
      </c>
      <c r="I466">
        <v>0</v>
      </c>
      <c r="J466">
        <v>0</v>
      </c>
      <c r="K466">
        <v>0</v>
      </c>
      <c r="L466">
        <v>0</v>
      </c>
      <c r="M466">
        <v>0</v>
      </c>
      <c r="N466">
        <v>0</v>
      </c>
      <c r="O466">
        <v>0</v>
      </c>
      <c r="P466" s="5">
        <f t="shared" si="79"/>
        <v>0</v>
      </c>
      <c r="Q466">
        <f t="shared" si="80"/>
        <v>0</v>
      </c>
      <c r="R466">
        <f t="shared" si="81"/>
        <v>0</v>
      </c>
      <c r="S466">
        <f t="shared" si="82"/>
        <v>0</v>
      </c>
      <c r="T466">
        <f t="shared" si="83"/>
        <v>0</v>
      </c>
      <c r="U466">
        <f t="shared" si="84"/>
        <v>0</v>
      </c>
      <c r="V466">
        <f t="shared" si="85"/>
        <v>0</v>
      </c>
      <c r="W466">
        <f t="shared" si="86"/>
        <v>0</v>
      </c>
      <c r="X466">
        <f t="shared" si="87"/>
        <v>0</v>
      </c>
      <c r="Y466">
        <f t="shared" si="88"/>
        <v>0</v>
      </c>
      <c r="Z466">
        <f t="shared" si="89"/>
        <v>0</v>
      </c>
      <c r="AA466" t="str">
        <f>INDEX('Priority activities'!$D$5:$D$86,MATCH('Database for analysis'!C466,'Priority activities'!$C$5:$C$86,0))</f>
        <v>Rural and underserved access to FP services</v>
      </c>
    </row>
    <row r="467" spans="2:27" ht="16.5" thickTop="1" thickBot="1" x14ac:dyDescent="0.3">
      <c r="B467" t="s">
        <v>195</v>
      </c>
      <c r="C467" s="22" t="str">
        <f>'Costing inputs'!$C$217</f>
        <v>CBD amenities - ongoing (SDA7.1)</v>
      </c>
      <c r="D467" s="22" t="str">
        <f>'Costing inputs'!$U$217</f>
        <v>Health centres - rural</v>
      </c>
      <c r="E467" s="22" t="str">
        <f>'Regional splits'!$C$14</f>
        <v>Central</v>
      </c>
      <c r="F467">
        <f t="array" ref="F467:O482">'Costing inputs'!S217*'Costing inputs'!AP217:AY217*TRANSPOSE('Costing inputs'!W217:AL217)</f>
        <v>0</v>
      </c>
      <c r="G467">
        <v>596537.36991485336</v>
      </c>
      <c r="H467">
        <v>596537.36991485336</v>
      </c>
      <c r="I467">
        <v>596537.36991485336</v>
      </c>
      <c r="J467">
        <v>596537.36991485336</v>
      </c>
      <c r="K467">
        <v>596537.36991485336</v>
      </c>
      <c r="L467">
        <v>596537.36991485336</v>
      </c>
      <c r="M467">
        <v>596537.36991485336</v>
      </c>
      <c r="N467">
        <v>0</v>
      </c>
      <c r="O467">
        <v>0</v>
      </c>
      <c r="P467" s="5">
        <f t="shared" si="79"/>
        <v>4175761.5894039739</v>
      </c>
      <c r="Q467">
        <f t="shared" si="80"/>
        <v>0</v>
      </c>
      <c r="R467">
        <f t="shared" si="81"/>
        <v>596537.36991485336</v>
      </c>
      <c r="S467">
        <f t="shared" si="82"/>
        <v>596537.36991485336</v>
      </c>
      <c r="T467">
        <f t="shared" si="83"/>
        <v>596537.36991485336</v>
      </c>
      <c r="U467">
        <f t="shared" si="84"/>
        <v>596537.36991485336</v>
      </c>
      <c r="V467">
        <f t="shared" si="85"/>
        <v>596537.36991485336</v>
      </c>
      <c r="W467">
        <f t="shared" si="86"/>
        <v>596537.36991485336</v>
      </c>
      <c r="X467">
        <f t="shared" si="87"/>
        <v>596537.36991485336</v>
      </c>
      <c r="Y467">
        <f t="shared" si="88"/>
        <v>0</v>
      </c>
      <c r="Z467">
        <f t="shared" si="89"/>
        <v>0</v>
      </c>
      <c r="AA467" t="str">
        <f>INDEX('Priority activities'!$D$5:$D$86,MATCH('Database for analysis'!C467,'Priority activities'!$C$5:$C$86,0))</f>
        <v>Rural and underserved access to FP services</v>
      </c>
    </row>
    <row r="468" spans="2:27" ht="16.5" thickTop="1" thickBot="1" x14ac:dyDescent="0.3">
      <c r="B468" t="s">
        <v>195</v>
      </c>
      <c r="C468" s="22" t="str">
        <f>'Costing inputs'!$C$217</f>
        <v>CBD amenities - ongoing (SDA7.1)</v>
      </c>
      <c r="D468" s="22" t="str">
        <f>'Costing inputs'!$U$217</f>
        <v>Health centres - rural</v>
      </c>
      <c r="E468" s="22" t="str">
        <f>'Regional splits'!$D$14</f>
        <v>Copperbelt</v>
      </c>
      <c r="F468">
        <v>0</v>
      </c>
      <c r="G468">
        <v>279791.86376537371</v>
      </c>
      <c r="H468">
        <v>279791.86376537371</v>
      </c>
      <c r="I468">
        <v>279791.86376537371</v>
      </c>
      <c r="J468">
        <v>279791.86376537371</v>
      </c>
      <c r="K468">
        <v>279791.86376537371</v>
      </c>
      <c r="L468">
        <v>279791.86376537371</v>
      </c>
      <c r="M468">
        <v>279791.86376537371</v>
      </c>
      <c r="N468">
        <v>0</v>
      </c>
      <c r="O468">
        <v>0</v>
      </c>
      <c r="P468" s="5">
        <f t="shared" si="79"/>
        <v>1958543.0463576163</v>
      </c>
      <c r="Q468">
        <f t="shared" si="80"/>
        <v>0</v>
      </c>
      <c r="R468">
        <f t="shared" si="81"/>
        <v>279791.86376537371</v>
      </c>
      <c r="S468">
        <f t="shared" si="82"/>
        <v>279791.86376537371</v>
      </c>
      <c r="T468">
        <f t="shared" si="83"/>
        <v>279791.86376537371</v>
      </c>
      <c r="U468">
        <f t="shared" si="84"/>
        <v>279791.86376537371</v>
      </c>
      <c r="V468">
        <f t="shared" si="85"/>
        <v>279791.86376537371</v>
      </c>
      <c r="W468">
        <f t="shared" si="86"/>
        <v>279791.86376537371</v>
      </c>
      <c r="X468">
        <f t="shared" si="87"/>
        <v>279791.86376537371</v>
      </c>
      <c r="Y468">
        <f t="shared" si="88"/>
        <v>0</v>
      </c>
      <c r="Z468">
        <f t="shared" si="89"/>
        <v>0</v>
      </c>
      <c r="AA468" t="str">
        <f>INDEX('Priority activities'!$D$5:$D$86,MATCH('Database for analysis'!C468,'Priority activities'!$C$5:$C$86,0))</f>
        <v>Rural and underserved access to FP services</v>
      </c>
    </row>
    <row r="469" spans="2:27" ht="16.5" thickTop="1" thickBot="1" x14ac:dyDescent="0.3">
      <c r="B469" t="s">
        <v>195</v>
      </c>
      <c r="C469" s="22" t="str">
        <f>'Costing inputs'!$C$217</f>
        <v>CBD amenities - ongoing (SDA7.1)</v>
      </c>
      <c r="D469" s="22" t="str">
        <f>'Costing inputs'!$U$217</f>
        <v>Health centres - rural</v>
      </c>
      <c r="E469" s="22" t="str">
        <f>'Regional splits'!$E$14</f>
        <v>Eastern</v>
      </c>
      <c r="F469">
        <v>0</v>
      </c>
      <c r="G469">
        <v>723235.57237464527</v>
      </c>
      <c r="H469">
        <v>723235.57237464527</v>
      </c>
      <c r="I469">
        <v>723235.57237464527</v>
      </c>
      <c r="J469">
        <v>723235.57237464527</v>
      </c>
      <c r="K469">
        <v>723235.57237464527</v>
      </c>
      <c r="L469">
        <v>723235.57237464527</v>
      </c>
      <c r="M469">
        <v>723235.57237464527</v>
      </c>
      <c r="N469">
        <v>0</v>
      </c>
      <c r="O469">
        <v>0</v>
      </c>
      <c r="P469" s="5">
        <f t="shared" si="79"/>
        <v>5062649.0066225175</v>
      </c>
      <c r="Q469">
        <f t="shared" si="80"/>
        <v>0</v>
      </c>
      <c r="R469">
        <f t="shared" si="81"/>
        <v>723235.57237464527</v>
      </c>
      <c r="S469">
        <f t="shared" si="82"/>
        <v>723235.57237464527</v>
      </c>
      <c r="T469">
        <f t="shared" si="83"/>
        <v>723235.57237464527</v>
      </c>
      <c r="U469">
        <f t="shared" si="84"/>
        <v>723235.57237464527</v>
      </c>
      <c r="V469">
        <f t="shared" si="85"/>
        <v>723235.57237464527</v>
      </c>
      <c r="W469">
        <f t="shared" si="86"/>
        <v>723235.57237464527</v>
      </c>
      <c r="X469">
        <f t="shared" si="87"/>
        <v>723235.57237464527</v>
      </c>
      <c r="Y469">
        <f t="shared" si="88"/>
        <v>0</v>
      </c>
      <c r="Z469">
        <f t="shared" si="89"/>
        <v>0</v>
      </c>
      <c r="AA469" t="str">
        <f>INDEX('Priority activities'!$D$5:$D$86,MATCH('Database for analysis'!C469,'Priority activities'!$C$5:$C$86,0))</f>
        <v>Rural and underserved access to FP services</v>
      </c>
    </row>
    <row r="470" spans="2:27" ht="16.5" thickTop="1" thickBot="1" x14ac:dyDescent="0.3">
      <c r="B470" t="s">
        <v>195</v>
      </c>
      <c r="C470" s="22" t="str">
        <f>'Costing inputs'!$C$217</f>
        <v>CBD amenities - ongoing (SDA7.1)</v>
      </c>
      <c r="D470" s="22" t="str">
        <f>'Costing inputs'!$U$217</f>
        <v>Health centres - rural</v>
      </c>
      <c r="E470" s="22" t="str">
        <f>'Regional splits'!$F$14</f>
        <v>Luapula</v>
      </c>
      <c r="F470">
        <v>0</v>
      </c>
      <c r="G470">
        <v>659886.47114474932</v>
      </c>
      <c r="H470">
        <v>659886.47114474932</v>
      </c>
      <c r="I470">
        <v>659886.47114474932</v>
      </c>
      <c r="J470">
        <v>659886.47114474932</v>
      </c>
      <c r="K470">
        <v>659886.47114474932</v>
      </c>
      <c r="L470">
        <v>659886.47114474932</v>
      </c>
      <c r="M470">
        <v>659886.47114474932</v>
      </c>
      <c r="N470">
        <v>0</v>
      </c>
      <c r="O470">
        <v>0</v>
      </c>
      <c r="P470" s="5">
        <f t="shared" si="79"/>
        <v>4619205.2980132457</v>
      </c>
      <c r="Q470">
        <f t="shared" si="80"/>
        <v>0</v>
      </c>
      <c r="R470">
        <f t="shared" si="81"/>
        <v>659886.47114474932</v>
      </c>
      <c r="S470">
        <f t="shared" si="82"/>
        <v>659886.47114474932</v>
      </c>
      <c r="T470">
        <f t="shared" si="83"/>
        <v>659886.47114474932</v>
      </c>
      <c r="U470">
        <f t="shared" si="84"/>
        <v>659886.47114474932</v>
      </c>
      <c r="V470">
        <f t="shared" si="85"/>
        <v>659886.47114474932</v>
      </c>
      <c r="W470">
        <f t="shared" si="86"/>
        <v>659886.47114474932</v>
      </c>
      <c r="X470">
        <f t="shared" si="87"/>
        <v>659886.47114474932</v>
      </c>
      <c r="Y470">
        <f t="shared" si="88"/>
        <v>0</v>
      </c>
      <c r="Z470">
        <f t="shared" si="89"/>
        <v>0</v>
      </c>
      <c r="AA470" t="str">
        <f>INDEX('Priority activities'!$D$5:$D$86,MATCH('Database for analysis'!C470,'Priority activities'!$C$5:$C$86,0))</f>
        <v>Rural and underserved access to FP services</v>
      </c>
    </row>
    <row r="471" spans="2:27" ht="16.5" thickTop="1" thickBot="1" x14ac:dyDescent="0.3">
      <c r="B471" t="s">
        <v>195</v>
      </c>
      <c r="C471" s="22" t="str">
        <f>'Costing inputs'!$C$217</f>
        <v>CBD amenities - ongoing (SDA7.1)</v>
      </c>
      <c r="D471" s="22" t="str">
        <f>'Costing inputs'!$U$217</f>
        <v>Health centres - rural</v>
      </c>
      <c r="E471" s="22" t="str">
        <f>'Regional splits'!$G$14</f>
        <v>Lusaka</v>
      </c>
      <c r="F471">
        <v>0</v>
      </c>
      <c r="G471">
        <v>248117.31315042573</v>
      </c>
      <c r="H471">
        <v>248117.31315042573</v>
      </c>
      <c r="I471">
        <v>248117.31315042573</v>
      </c>
      <c r="J471">
        <v>248117.31315042573</v>
      </c>
      <c r="K471">
        <v>248117.31315042573</v>
      </c>
      <c r="L471">
        <v>248117.31315042573</v>
      </c>
      <c r="M471">
        <v>248117.31315042573</v>
      </c>
      <c r="N471">
        <v>0</v>
      </c>
      <c r="O471">
        <v>0</v>
      </c>
      <c r="P471" s="5">
        <f t="shared" si="79"/>
        <v>1736821.19205298</v>
      </c>
      <c r="Q471">
        <f t="shared" si="80"/>
        <v>0</v>
      </c>
      <c r="R471">
        <f t="shared" si="81"/>
        <v>248117.31315042573</v>
      </c>
      <c r="S471">
        <f t="shared" si="82"/>
        <v>248117.31315042573</v>
      </c>
      <c r="T471">
        <f t="shared" si="83"/>
        <v>248117.31315042573</v>
      </c>
      <c r="U471">
        <f t="shared" si="84"/>
        <v>248117.31315042573</v>
      </c>
      <c r="V471">
        <f t="shared" si="85"/>
        <v>248117.31315042573</v>
      </c>
      <c r="W471">
        <f t="shared" si="86"/>
        <v>248117.31315042573</v>
      </c>
      <c r="X471">
        <f t="shared" si="87"/>
        <v>248117.31315042573</v>
      </c>
      <c r="Y471">
        <f t="shared" si="88"/>
        <v>0</v>
      </c>
      <c r="Z471">
        <f t="shared" si="89"/>
        <v>0</v>
      </c>
      <c r="AA471" t="str">
        <f>INDEX('Priority activities'!$D$5:$D$86,MATCH('Database for analysis'!C471,'Priority activities'!$C$5:$C$86,0))</f>
        <v>Rural and underserved access to FP services</v>
      </c>
    </row>
    <row r="472" spans="2:27" ht="16.5" thickTop="1" thickBot="1" x14ac:dyDescent="0.3">
      <c r="B472" t="s">
        <v>195</v>
      </c>
      <c r="C472" s="22" t="str">
        <f>'Costing inputs'!$C$217</f>
        <v>CBD amenities - ongoing (SDA7.1)</v>
      </c>
      <c r="D472" s="22" t="str">
        <f>'Costing inputs'!$U$217</f>
        <v>Health centres - rural</v>
      </c>
      <c r="E472" s="22" t="str">
        <f>'Regional splits'!$H$14</f>
        <v>Muchinga</v>
      </c>
      <c r="F472">
        <v>0</v>
      </c>
      <c r="G472">
        <v>374815.51561021764</v>
      </c>
      <c r="H472">
        <v>374815.51561021764</v>
      </c>
      <c r="I472">
        <v>374815.51561021764</v>
      </c>
      <c r="J472">
        <v>374815.51561021764</v>
      </c>
      <c r="K472">
        <v>374815.51561021764</v>
      </c>
      <c r="L472">
        <v>374815.51561021764</v>
      </c>
      <c r="M472">
        <v>374815.51561021764</v>
      </c>
      <c r="N472">
        <v>0</v>
      </c>
      <c r="O472">
        <v>0</v>
      </c>
      <c r="P472" s="5">
        <f t="shared" si="79"/>
        <v>2623708.6092715235</v>
      </c>
      <c r="Q472">
        <f t="shared" si="80"/>
        <v>0</v>
      </c>
      <c r="R472">
        <f t="shared" si="81"/>
        <v>374815.51561021764</v>
      </c>
      <c r="S472">
        <f t="shared" si="82"/>
        <v>374815.51561021764</v>
      </c>
      <c r="T472">
        <f t="shared" si="83"/>
        <v>374815.51561021764</v>
      </c>
      <c r="U472">
        <f t="shared" si="84"/>
        <v>374815.51561021764</v>
      </c>
      <c r="V472">
        <f t="shared" si="85"/>
        <v>374815.51561021764</v>
      </c>
      <c r="W472">
        <f t="shared" si="86"/>
        <v>374815.51561021764</v>
      </c>
      <c r="X472">
        <f t="shared" si="87"/>
        <v>374815.51561021764</v>
      </c>
      <c r="Y472">
        <f t="shared" si="88"/>
        <v>0</v>
      </c>
      <c r="Z472">
        <f t="shared" si="89"/>
        <v>0</v>
      </c>
      <c r="AA472" t="str">
        <f>INDEX('Priority activities'!$D$5:$D$86,MATCH('Database for analysis'!C472,'Priority activities'!$C$5:$C$86,0))</f>
        <v>Rural and underserved access to FP services</v>
      </c>
    </row>
    <row r="473" spans="2:27" ht="16.5" thickTop="1" thickBot="1" x14ac:dyDescent="0.3">
      <c r="B473" t="s">
        <v>195</v>
      </c>
      <c r="C473" s="22" t="str">
        <f>'Costing inputs'!$C$217</f>
        <v>CBD amenities - ongoing (SDA7.1)</v>
      </c>
      <c r="D473" s="22" t="str">
        <f>'Costing inputs'!$U$217</f>
        <v>Health centres - rural</v>
      </c>
      <c r="E473" s="22" t="str">
        <f>'Regional splits'!$I$14</f>
        <v>Northern</v>
      </c>
      <c r="F473">
        <v>0</v>
      </c>
      <c r="G473">
        <v>490955.53453169344</v>
      </c>
      <c r="H473">
        <v>490955.53453169344</v>
      </c>
      <c r="I473">
        <v>490955.53453169344</v>
      </c>
      <c r="J473">
        <v>490955.53453169344</v>
      </c>
      <c r="K473">
        <v>490955.53453169344</v>
      </c>
      <c r="L473">
        <v>490955.53453169344</v>
      </c>
      <c r="M473">
        <v>490955.53453169344</v>
      </c>
      <c r="N473">
        <v>0</v>
      </c>
      <c r="O473">
        <v>0</v>
      </c>
      <c r="P473" s="5">
        <f t="shared" si="79"/>
        <v>3436688.7417218541</v>
      </c>
      <c r="Q473">
        <f t="shared" si="80"/>
        <v>0</v>
      </c>
      <c r="R473">
        <f t="shared" si="81"/>
        <v>490955.53453169344</v>
      </c>
      <c r="S473">
        <f t="shared" si="82"/>
        <v>490955.53453169344</v>
      </c>
      <c r="T473">
        <f t="shared" si="83"/>
        <v>490955.53453169344</v>
      </c>
      <c r="U473">
        <f t="shared" si="84"/>
        <v>490955.53453169344</v>
      </c>
      <c r="V473">
        <f t="shared" si="85"/>
        <v>490955.53453169344</v>
      </c>
      <c r="W473">
        <f t="shared" si="86"/>
        <v>490955.53453169344</v>
      </c>
      <c r="X473">
        <f t="shared" si="87"/>
        <v>490955.53453169344</v>
      </c>
      <c r="Y473">
        <f t="shared" si="88"/>
        <v>0</v>
      </c>
      <c r="Z473">
        <f t="shared" si="89"/>
        <v>0</v>
      </c>
      <c r="AA473" t="str">
        <f>INDEX('Priority activities'!$D$5:$D$86,MATCH('Database for analysis'!C473,'Priority activities'!$C$5:$C$86,0))</f>
        <v>Rural and underserved access to FP services</v>
      </c>
    </row>
    <row r="474" spans="2:27" ht="16.5" thickTop="1" thickBot="1" x14ac:dyDescent="0.3">
      <c r="B474" t="s">
        <v>195</v>
      </c>
      <c r="C474" s="22" t="str">
        <f>'Costing inputs'!$C$217</f>
        <v>CBD amenities - ongoing (SDA7.1)</v>
      </c>
      <c r="D474" s="22" t="str">
        <f>'Costing inputs'!$U$217</f>
        <v>Health centres - rural</v>
      </c>
      <c r="E474" s="22" t="str">
        <f>'Regional splits'!$J$14</f>
        <v>North Western</v>
      </c>
      <c r="F474">
        <v>0</v>
      </c>
      <c r="G474">
        <v>633491.01229895931</v>
      </c>
      <c r="H474">
        <v>633491.01229895931</v>
      </c>
      <c r="I474">
        <v>633491.01229895931</v>
      </c>
      <c r="J474">
        <v>633491.01229895931</v>
      </c>
      <c r="K474">
        <v>633491.01229895931</v>
      </c>
      <c r="L474">
        <v>633491.01229895931</v>
      </c>
      <c r="M474">
        <v>633491.01229895931</v>
      </c>
      <c r="N474">
        <v>0</v>
      </c>
      <c r="O474">
        <v>0</v>
      </c>
      <c r="P474" s="5">
        <f t="shared" si="79"/>
        <v>4434437.0860927152</v>
      </c>
      <c r="Q474">
        <f t="shared" si="80"/>
        <v>0</v>
      </c>
      <c r="R474">
        <f t="shared" si="81"/>
        <v>633491.01229895931</v>
      </c>
      <c r="S474">
        <f t="shared" si="82"/>
        <v>633491.01229895931</v>
      </c>
      <c r="T474">
        <f t="shared" si="83"/>
        <v>633491.01229895931</v>
      </c>
      <c r="U474">
        <f t="shared" si="84"/>
        <v>633491.01229895931</v>
      </c>
      <c r="V474">
        <f t="shared" si="85"/>
        <v>633491.01229895931</v>
      </c>
      <c r="W474">
        <f t="shared" si="86"/>
        <v>633491.01229895931</v>
      </c>
      <c r="X474">
        <f t="shared" si="87"/>
        <v>633491.01229895931</v>
      </c>
      <c r="Y474">
        <f t="shared" si="88"/>
        <v>0</v>
      </c>
      <c r="Z474">
        <f t="shared" si="89"/>
        <v>0</v>
      </c>
      <c r="AA474" t="str">
        <f>INDEX('Priority activities'!$D$5:$D$86,MATCH('Database for analysis'!C474,'Priority activities'!$C$5:$C$86,0))</f>
        <v>Rural and underserved access to FP services</v>
      </c>
    </row>
    <row r="475" spans="2:27" ht="16.5" thickTop="1" thickBot="1" x14ac:dyDescent="0.3">
      <c r="B475" t="s">
        <v>195</v>
      </c>
      <c r="C475" s="22" t="str">
        <f>'Costing inputs'!$C$217</f>
        <v>CBD amenities - ongoing (SDA7.1)</v>
      </c>
      <c r="D475" s="22" t="str">
        <f>'Costing inputs'!$U$217</f>
        <v>Health centres - rural</v>
      </c>
      <c r="E475" s="22" t="str">
        <f>'Regional splits'!$K$14</f>
        <v>Southern</v>
      </c>
      <c r="F475">
        <v>0</v>
      </c>
      <c r="G475">
        <v>913282.87606433313</v>
      </c>
      <c r="H475">
        <v>913282.87606433313</v>
      </c>
      <c r="I475">
        <v>913282.87606433313</v>
      </c>
      <c r="J475">
        <v>913282.87606433313</v>
      </c>
      <c r="K475">
        <v>913282.87606433313</v>
      </c>
      <c r="L475">
        <v>913282.87606433313</v>
      </c>
      <c r="M475">
        <v>913282.87606433313</v>
      </c>
      <c r="N475">
        <v>0</v>
      </c>
      <c r="O475">
        <v>0</v>
      </c>
      <c r="P475" s="5">
        <f t="shared" si="79"/>
        <v>6392980.1324503319</v>
      </c>
      <c r="Q475">
        <f t="shared" si="80"/>
        <v>0</v>
      </c>
      <c r="R475">
        <f t="shared" si="81"/>
        <v>913282.87606433313</v>
      </c>
      <c r="S475">
        <f t="shared" si="82"/>
        <v>913282.87606433313</v>
      </c>
      <c r="T475">
        <f t="shared" si="83"/>
        <v>913282.87606433313</v>
      </c>
      <c r="U475">
        <f t="shared" si="84"/>
        <v>913282.87606433313</v>
      </c>
      <c r="V475">
        <f t="shared" si="85"/>
        <v>913282.87606433313</v>
      </c>
      <c r="W475">
        <f t="shared" si="86"/>
        <v>913282.87606433313</v>
      </c>
      <c r="X475">
        <f t="shared" si="87"/>
        <v>913282.87606433313</v>
      </c>
      <c r="Y475">
        <f t="shared" si="88"/>
        <v>0</v>
      </c>
      <c r="Z475">
        <f t="shared" si="89"/>
        <v>0</v>
      </c>
      <c r="AA475" t="str">
        <f>INDEX('Priority activities'!$D$5:$D$86,MATCH('Database for analysis'!C475,'Priority activities'!$C$5:$C$86,0))</f>
        <v>Rural and underserved access to FP services</v>
      </c>
    </row>
    <row r="476" spans="2:27" ht="16.5" thickTop="1" thickBot="1" x14ac:dyDescent="0.3">
      <c r="B476" t="s">
        <v>195</v>
      </c>
      <c r="C476" s="22" t="str">
        <f>'Costing inputs'!$C$217</f>
        <v>CBD amenities - ongoing (SDA7.1)</v>
      </c>
      <c r="D476" s="22" t="str">
        <f>'Costing inputs'!$U$217</f>
        <v>Health centres - rural</v>
      </c>
      <c r="E476" s="22" t="str">
        <f>'Regional splits'!$L$14</f>
        <v>Western</v>
      </c>
      <c r="F476">
        <v>0</v>
      </c>
      <c r="G476">
        <v>659886.47114474932</v>
      </c>
      <c r="H476">
        <v>659886.47114474932</v>
      </c>
      <c r="I476">
        <v>659886.47114474932</v>
      </c>
      <c r="J476">
        <v>659886.47114474932</v>
      </c>
      <c r="K476">
        <v>659886.47114474932</v>
      </c>
      <c r="L476">
        <v>659886.47114474932</v>
      </c>
      <c r="M476">
        <v>659886.47114474932</v>
      </c>
      <c r="N476">
        <v>0</v>
      </c>
      <c r="O476">
        <v>0</v>
      </c>
      <c r="P476" s="5">
        <f t="shared" si="79"/>
        <v>4619205.2980132457</v>
      </c>
      <c r="Q476">
        <f t="shared" si="80"/>
        <v>0</v>
      </c>
      <c r="R476">
        <f t="shared" si="81"/>
        <v>659886.47114474932</v>
      </c>
      <c r="S476">
        <f t="shared" si="82"/>
        <v>659886.47114474932</v>
      </c>
      <c r="T476">
        <f t="shared" si="83"/>
        <v>659886.47114474932</v>
      </c>
      <c r="U476">
        <f t="shared" si="84"/>
        <v>659886.47114474932</v>
      </c>
      <c r="V476">
        <f t="shared" si="85"/>
        <v>659886.47114474932</v>
      </c>
      <c r="W476">
        <f t="shared" si="86"/>
        <v>659886.47114474932</v>
      </c>
      <c r="X476">
        <f t="shared" si="87"/>
        <v>659886.47114474932</v>
      </c>
      <c r="Y476">
        <f t="shared" si="88"/>
        <v>0</v>
      </c>
      <c r="Z476">
        <f t="shared" si="89"/>
        <v>0</v>
      </c>
      <c r="AA476" t="str">
        <f>INDEX('Priority activities'!$D$5:$D$86,MATCH('Database for analysis'!C476,'Priority activities'!$C$5:$C$86,0))</f>
        <v>Rural and underserved access to FP services</v>
      </c>
    </row>
    <row r="477" spans="2:27" ht="16.5" thickTop="1" thickBot="1" x14ac:dyDescent="0.3">
      <c r="B477" t="s">
        <v>195</v>
      </c>
      <c r="C477" s="22" t="str">
        <f>'Costing inputs'!$C$217</f>
        <v>CBD amenities - ongoing (SDA7.1)</v>
      </c>
      <c r="D477" s="22" t="str">
        <f>'Costing inputs'!$U$217</f>
        <v>Health centres - rural</v>
      </c>
      <c r="E477" s="22">
        <f>'Regional splits'!$M$14</f>
        <v>0</v>
      </c>
      <c r="F477">
        <v>0</v>
      </c>
      <c r="G477">
        <v>0</v>
      </c>
      <c r="H477">
        <v>0</v>
      </c>
      <c r="I477">
        <v>0</v>
      </c>
      <c r="J477">
        <v>0</v>
      </c>
      <c r="K477">
        <v>0</v>
      </c>
      <c r="L477">
        <v>0</v>
      </c>
      <c r="M477">
        <v>0</v>
      </c>
      <c r="N477">
        <v>0</v>
      </c>
      <c r="O477">
        <v>0</v>
      </c>
      <c r="P477" s="5">
        <f t="shared" si="79"/>
        <v>0</v>
      </c>
      <c r="Q477">
        <f t="shared" si="80"/>
        <v>0</v>
      </c>
      <c r="R477">
        <f t="shared" si="81"/>
        <v>0</v>
      </c>
      <c r="S477">
        <f t="shared" si="82"/>
        <v>0</v>
      </c>
      <c r="T477">
        <f t="shared" si="83"/>
        <v>0</v>
      </c>
      <c r="U477">
        <f t="shared" si="84"/>
        <v>0</v>
      </c>
      <c r="V477">
        <f t="shared" si="85"/>
        <v>0</v>
      </c>
      <c r="W477">
        <f t="shared" si="86"/>
        <v>0</v>
      </c>
      <c r="X477">
        <f t="shared" si="87"/>
        <v>0</v>
      </c>
      <c r="Y477">
        <f t="shared" si="88"/>
        <v>0</v>
      </c>
      <c r="Z477">
        <f t="shared" si="89"/>
        <v>0</v>
      </c>
      <c r="AA477" t="str">
        <f>INDEX('Priority activities'!$D$5:$D$86,MATCH('Database for analysis'!C477,'Priority activities'!$C$5:$C$86,0))</f>
        <v>Rural and underserved access to FP services</v>
      </c>
    </row>
    <row r="478" spans="2:27" ht="16.5" thickTop="1" thickBot="1" x14ac:dyDescent="0.3">
      <c r="B478" t="s">
        <v>195</v>
      </c>
      <c r="C478" s="22" t="str">
        <f>'Costing inputs'!$C$217</f>
        <v>CBD amenities - ongoing (SDA7.1)</v>
      </c>
      <c r="D478" s="22" t="str">
        <f>'Costing inputs'!$U$217</f>
        <v>Health centres - rural</v>
      </c>
      <c r="E478" s="22">
        <f>'Regional splits'!$N$14</f>
        <v>0</v>
      </c>
      <c r="F478">
        <v>0</v>
      </c>
      <c r="G478">
        <v>0</v>
      </c>
      <c r="H478">
        <v>0</v>
      </c>
      <c r="I478">
        <v>0</v>
      </c>
      <c r="J478">
        <v>0</v>
      </c>
      <c r="K478">
        <v>0</v>
      </c>
      <c r="L478">
        <v>0</v>
      </c>
      <c r="M478">
        <v>0</v>
      </c>
      <c r="N478">
        <v>0</v>
      </c>
      <c r="O478">
        <v>0</v>
      </c>
      <c r="P478" s="5">
        <f t="shared" si="79"/>
        <v>0</v>
      </c>
      <c r="Q478">
        <f t="shared" si="80"/>
        <v>0</v>
      </c>
      <c r="R478">
        <f t="shared" si="81"/>
        <v>0</v>
      </c>
      <c r="S478">
        <f t="shared" si="82"/>
        <v>0</v>
      </c>
      <c r="T478">
        <f t="shared" si="83"/>
        <v>0</v>
      </c>
      <c r="U478">
        <f t="shared" si="84"/>
        <v>0</v>
      </c>
      <c r="V478">
        <f t="shared" si="85"/>
        <v>0</v>
      </c>
      <c r="W478">
        <f t="shared" si="86"/>
        <v>0</v>
      </c>
      <c r="X478">
        <f t="shared" si="87"/>
        <v>0</v>
      </c>
      <c r="Y478">
        <f t="shared" si="88"/>
        <v>0</v>
      </c>
      <c r="Z478">
        <f t="shared" si="89"/>
        <v>0</v>
      </c>
      <c r="AA478" t="str">
        <f>INDEX('Priority activities'!$D$5:$D$86,MATCH('Database for analysis'!C478,'Priority activities'!$C$5:$C$86,0))</f>
        <v>Rural and underserved access to FP services</v>
      </c>
    </row>
    <row r="479" spans="2:27" ht="16.5" thickTop="1" thickBot="1" x14ac:dyDescent="0.3">
      <c r="B479" t="s">
        <v>195</v>
      </c>
      <c r="C479" s="22" t="str">
        <f>'Costing inputs'!$C$217</f>
        <v>CBD amenities - ongoing (SDA7.1)</v>
      </c>
      <c r="D479" s="22" t="str">
        <f>'Costing inputs'!$U$217</f>
        <v>Health centres - rural</v>
      </c>
      <c r="E479" s="22">
        <f>'Regional splits'!$O$14</f>
        <v>0</v>
      </c>
      <c r="F479">
        <v>0</v>
      </c>
      <c r="G479">
        <v>0</v>
      </c>
      <c r="H479">
        <v>0</v>
      </c>
      <c r="I479">
        <v>0</v>
      </c>
      <c r="J479">
        <v>0</v>
      </c>
      <c r="K479">
        <v>0</v>
      </c>
      <c r="L479">
        <v>0</v>
      </c>
      <c r="M479">
        <v>0</v>
      </c>
      <c r="N479">
        <v>0</v>
      </c>
      <c r="O479">
        <v>0</v>
      </c>
      <c r="P479" s="5">
        <f t="shared" si="79"/>
        <v>0</v>
      </c>
      <c r="Q479">
        <f t="shared" si="80"/>
        <v>0</v>
      </c>
      <c r="R479">
        <f t="shared" si="81"/>
        <v>0</v>
      </c>
      <c r="S479">
        <f t="shared" si="82"/>
        <v>0</v>
      </c>
      <c r="T479">
        <f t="shared" si="83"/>
        <v>0</v>
      </c>
      <c r="U479">
        <f t="shared" si="84"/>
        <v>0</v>
      </c>
      <c r="V479">
        <f t="shared" si="85"/>
        <v>0</v>
      </c>
      <c r="W479">
        <f t="shared" si="86"/>
        <v>0</v>
      </c>
      <c r="X479">
        <f t="shared" si="87"/>
        <v>0</v>
      </c>
      <c r="Y479">
        <f t="shared" si="88"/>
        <v>0</v>
      </c>
      <c r="Z479">
        <f t="shared" si="89"/>
        <v>0</v>
      </c>
      <c r="AA479" t="str">
        <f>INDEX('Priority activities'!$D$5:$D$86,MATCH('Database for analysis'!C479,'Priority activities'!$C$5:$C$86,0))</f>
        <v>Rural and underserved access to FP services</v>
      </c>
    </row>
    <row r="480" spans="2:27" ht="16.5" thickTop="1" thickBot="1" x14ac:dyDescent="0.3">
      <c r="B480" t="s">
        <v>195</v>
      </c>
      <c r="C480" s="22" t="str">
        <f>'Costing inputs'!$C$217</f>
        <v>CBD amenities - ongoing (SDA7.1)</v>
      </c>
      <c r="D480" s="22" t="str">
        <f>'Costing inputs'!$U$217</f>
        <v>Health centres - rural</v>
      </c>
      <c r="E480" s="22">
        <f>'Regional splits'!$P$14</f>
        <v>0</v>
      </c>
      <c r="F480">
        <v>0</v>
      </c>
      <c r="G480">
        <v>0</v>
      </c>
      <c r="H480">
        <v>0</v>
      </c>
      <c r="I480">
        <v>0</v>
      </c>
      <c r="J480">
        <v>0</v>
      </c>
      <c r="K480">
        <v>0</v>
      </c>
      <c r="L480">
        <v>0</v>
      </c>
      <c r="M480">
        <v>0</v>
      </c>
      <c r="N480">
        <v>0</v>
      </c>
      <c r="O480">
        <v>0</v>
      </c>
      <c r="P480" s="5">
        <f t="shared" si="79"/>
        <v>0</v>
      </c>
      <c r="Q480">
        <f t="shared" si="80"/>
        <v>0</v>
      </c>
      <c r="R480">
        <f t="shared" si="81"/>
        <v>0</v>
      </c>
      <c r="S480">
        <f t="shared" si="82"/>
        <v>0</v>
      </c>
      <c r="T480">
        <f t="shared" si="83"/>
        <v>0</v>
      </c>
      <c r="U480">
        <f t="shared" si="84"/>
        <v>0</v>
      </c>
      <c r="V480">
        <f t="shared" si="85"/>
        <v>0</v>
      </c>
      <c r="W480">
        <f t="shared" si="86"/>
        <v>0</v>
      </c>
      <c r="X480">
        <f t="shared" si="87"/>
        <v>0</v>
      </c>
      <c r="Y480">
        <f t="shared" si="88"/>
        <v>0</v>
      </c>
      <c r="Z480">
        <f t="shared" si="89"/>
        <v>0</v>
      </c>
      <c r="AA480" t="str">
        <f>INDEX('Priority activities'!$D$5:$D$86,MATCH('Database for analysis'!C480,'Priority activities'!$C$5:$C$86,0))</f>
        <v>Rural and underserved access to FP services</v>
      </c>
    </row>
    <row r="481" spans="2:27" ht="16.5" thickTop="1" thickBot="1" x14ac:dyDescent="0.3">
      <c r="B481" t="s">
        <v>195</v>
      </c>
      <c r="C481" s="22" t="str">
        <f>'Costing inputs'!$C$217</f>
        <v>CBD amenities - ongoing (SDA7.1)</v>
      </c>
      <c r="D481" s="22" t="str">
        <f>'Costing inputs'!$U$217</f>
        <v>Health centres - rural</v>
      </c>
      <c r="E481" s="22">
        <f>'Regional splits'!$Q$14</f>
        <v>0</v>
      </c>
      <c r="F481">
        <v>0</v>
      </c>
      <c r="G481">
        <v>0</v>
      </c>
      <c r="H481">
        <v>0</v>
      </c>
      <c r="I481">
        <v>0</v>
      </c>
      <c r="J481">
        <v>0</v>
      </c>
      <c r="K481">
        <v>0</v>
      </c>
      <c r="L481">
        <v>0</v>
      </c>
      <c r="M481">
        <v>0</v>
      </c>
      <c r="N481">
        <v>0</v>
      </c>
      <c r="O481">
        <v>0</v>
      </c>
      <c r="P481" s="5">
        <f t="shared" si="79"/>
        <v>0</v>
      </c>
      <c r="Q481">
        <f t="shared" si="80"/>
        <v>0</v>
      </c>
      <c r="R481">
        <f t="shared" si="81"/>
        <v>0</v>
      </c>
      <c r="S481">
        <f t="shared" si="82"/>
        <v>0</v>
      </c>
      <c r="T481">
        <f t="shared" si="83"/>
        <v>0</v>
      </c>
      <c r="U481">
        <f t="shared" si="84"/>
        <v>0</v>
      </c>
      <c r="V481">
        <f t="shared" si="85"/>
        <v>0</v>
      </c>
      <c r="W481">
        <f t="shared" si="86"/>
        <v>0</v>
      </c>
      <c r="X481">
        <f t="shared" si="87"/>
        <v>0</v>
      </c>
      <c r="Y481">
        <f t="shared" si="88"/>
        <v>0</v>
      </c>
      <c r="Z481">
        <f t="shared" si="89"/>
        <v>0</v>
      </c>
      <c r="AA481" t="str">
        <f>INDEX('Priority activities'!$D$5:$D$86,MATCH('Database for analysis'!C481,'Priority activities'!$C$5:$C$86,0))</f>
        <v>Rural and underserved access to FP services</v>
      </c>
    </row>
    <row r="482" spans="2:27" ht="16.5" thickTop="1" thickBot="1" x14ac:dyDescent="0.3">
      <c r="B482" t="s">
        <v>195</v>
      </c>
      <c r="C482" s="22" t="str">
        <f>'Costing inputs'!$C$217</f>
        <v>CBD amenities - ongoing (SDA7.1)</v>
      </c>
      <c r="D482" s="22" t="str">
        <f>'Costing inputs'!$U$217</f>
        <v>Health centres - rural</v>
      </c>
      <c r="E482" s="22" t="str">
        <f>'Regional splits'!$R$14</f>
        <v>National-level</v>
      </c>
      <c r="F482">
        <v>0</v>
      </c>
      <c r="G482">
        <v>0</v>
      </c>
      <c r="H482">
        <v>0</v>
      </c>
      <c r="I482">
        <v>0</v>
      </c>
      <c r="J482">
        <v>0</v>
      </c>
      <c r="K482">
        <v>0</v>
      </c>
      <c r="L482">
        <v>0</v>
      </c>
      <c r="M482">
        <v>0</v>
      </c>
      <c r="N482">
        <v>0</v>
      </c>
      <c r="O482">
        <v>0</v>
      </c>
      <c r="P482" s="5">
        <f t="shared" si="79"/>
        <v>0</v>
      </c>
      <c r="Q482">
        <f t="shared" si="80"/>
        <v>0</v>
      </c>
      <c r="R482">
        <f t="shared" si="81"/>
        <v>0</v>
      </c>
      <c r="S482">
        <f t="shared" si="82"/>
        <v>0</v>
      </c>
      <c r="T482">
        <f t="shared" si="83"/>
        <v>0</v>
      </c>
      <c r="U482">
        <f t="shared" si="84"/>
        <v>0</v>
      </c>
      <c r="V482">
        <f t="shared" si="85"/>
        <v>0</v>
      </c>
      <c r="W482">
        <f t="shared" si="86"/>
        <v>0</v>
      </c>
      <c r="X482">
        <f t="shared" si="87"/>
        <v>0</v>
      </c>
      <c r="Y482">
        <f t="shared" si="88"/>
        <v>0</v>
      </c>
      <c r="Z482">
        <f t="shared" si="89"/>
        <v>0</v>
      </c>
      <c r="AA482" t="str">
        <f>INDEX('Priority activities'!$D$5:$D$86,MATCH('Database for analysis'!C482,'Priority activities'!$C$5:$C$86,0))</f>
        <v>Rural and underserved access to FP services</v>
      </c>
    </row>
    <row r="483" spans="2:27" ht="16.5" thickTop="1" thickBot="1" x14ac:dyDescent="0.3">
      <c r="B483" t="s">
        <v>195</v>
      </c>
      <c r="C483" s="22" t="str">
        <f>'Costing inputs'!$C$223</f>
        <v>FP equipment for all health facilities (SDA10 &amp; SDA.12.1)</v>
      </c>
      <c r="D483" s="22" t="str">
        <f>'Costing inputs'!$U$223</f>
        <v>Health facilities (service delivery points)</v>
      </c>
      <c r="E483" s="22" t="str">
        <f>'Regional splits'!$C$14</f>
        <v>Central</v>
      </c>
      <c r="F483">
        <f t="array" ref="F483:O498">'Costing inputs'!S223*'Costing inputs'!AP223:AY223*TRANSPOSE('Costing inputs'!W223:AL223)</f>
        <v>0</v>
      </c>
      <c r="G483">
        <v>1145746.3983050848</v>
      </c>
      <c r="H483">
        <v>0</v>
      </c>
      <c r="I483">
        <v>0</v>
      </c>
      <c r="J483">
        <v>0</v>
      </c>
      <c r="K483">
        <v>0</v>
      </c>
      <c r="L483">
        <v>0</v>
      </c>
      <c r="M483">
        <v>0</v>
      </c>
      <c r="N483">
        <v>0</v>
      </c>
      <c r="O483">
        <v>0</v>
      </c>
      <c r="P483" s="5">
        <f t="shared" si="79"/>
        <v>1145746.3983050848</v>
      </c>
      <c r="Q483">
        <f t="shared" si="80"/>
        <v>0</v>
      </c>
      <c r="R483">
        <f t="shared" si="81"/>
        <v>1145746.3983050848</v>
      </c>
      <c r="S483">
        <f t="shared" si="82"/>
        <v>0</v>
      </c>
      <c r="T483">
        <f t="shared" si="83"/>
        <v>0</v>
      </c>
      <c r="U483">
        <f t="shared" si="84"/>
        <v>0</v>
      </c>
      <c r="V483">
        <f t="shared" si="85"/>
        <v>0</v>
      </c>
      <c r="W483">
        <f t="shared" si="86"/>
        <v>0</v>
      </c>
      <c r="X483">
        <f t="shared" si="87"/>
        <v>0</v>
      </c>
      <c r="Y483">
        <f t="shared" si="88"/>
        <v>0</v>
      </c>
      <c r="Z483">
        <f t="shared" si="89"/>
        <v>0</v>
      </c>
      <c r="AA483" t="str">
        <f>INDEX('Priority activities'!$D$5:$D$86,MATCH('Database for analysis'!C483,'Priority activities'!$C$5:$C$86,0))</f>
        <v>n/a</v>
      </c>
    </row>
    <row r="484" spans="2:27" ht="16.5" thickTop="1" thickBot="1" x14ac:dyDescent="0.3">
      <c r="B484" t="s">
        <v>195</v>
      </c>
      <c r="C484" s="22" t="str">
        <f>'Costing inputs'!$C$223</f>
        <v>FP equipment for all health facilities (SDA10 &amp; SDA.12.1)</v>
      </c>
      <c r="D484" s="22" t="str">
        <f>'Costing inputs'!$U$223</f>
        <v>Health facilities (service delivery points)</v>
      </c>
      <c r="E484" s="22" t="str">
        <f>'Regional splits'!$D$14</f>
        <v>Copperbelt</v>
      </c>
      <c r="F484">
        <v>0</v>
      </c>
      <c r="G484">
        <v>1368530.4201977402</v>
      </c>
      <c r="H484">
        <v>0</v>
      </c>
      <c r="I484">
        <v>0</v>
      </c>
      <c r="J484">
        <v>0</v>
      </c>
      <c r="K484">
        <v>0</v>
      </c>
      <c r="L484">
        <v>0</v>
      </c>
      <c r="M484">
        <v>0</v>
      </c>
      <c r="N484">
        <v>0</v>
      </c>
      <c r="O484">
        <v>0</v>
      </c>
      <c r="P484" s="5">
        <f t="shared" si="79"/>
        <v>1368530.4201977402</v>
      </c>
      <c r="Q484">
        <f t="shared" si="80"/>
        <v>0</v>
      </c>
      <c r="R484">
        <f t="shared" si="81"/>
        <v>1368530.4201977402</v>
      </c>
      <c r="S484">
        <f t="shared" si="82"/>
        <v>0</v>
      </c>
      <c r="T484">
        <f t="shared" si="83"/>
        <v>0</v>
      </c>
      <c r="U484">
        <f t="shared" si="84"/>
        <v>0</v>
      </c>
      <c r="V484">
        <f t="shared" si="85"/>
        <v>0</v>
      </c>
      <c r="W484">
        <f t="shared" si="86"/>
        <v>0</v>
      </c>
      <c r="X484">
        <f t="shared" si="87"/>
        <v>0</v>
      </c>
      <c r="Y484">
        <f t="shared" si="88"/>
        <v>0</v>
      </c>
      <c r="Z484">
        <f t="shared" si="89"/>
        <v>0</v>
      </c>
      <c r="AA484" t="str">
        <f>INDEX('Priority activities'!$D$5:$D$86,MATCH('Database for analysis'!C484,'Priority activities'!$C$5:$C$86,0))</f>
        <v>n/a</v>
      </c>
    </row>
    <row r="485" spans="2:27" ht="16.5" thickTop="1" thickBot="1" x14ac:dyDescent="0.3">
      <c r="B485" t="s">
        <v>195</v>
      </c>
      <c r="C485" s="22" t="str">
        <f>'Costing inputs'!$C$223</f>
        <v>FP equipment for all health facilities (SDA10 &amp; SDA.12.1)</v>
      </c>
      <c r="D485" s="22" t="str">
        <f>'Costing inputs'!$U$223</f>
        <v>Health facilities (service delivery points)</v>
      </c>
      <c r="E485" s="22" t="str">
        <f>'Regional splits'!$E$14</f>
        <v>Eastern</v>
      </c>
      <c r="F485">
        <v>0</v>
      </c>
      <c r="G485">
        <v>1247590.5225988701</v>
      </c>
      <c r="H485">
        <v>0</v>
      </c>
      <c r="I485">
        <v>0</v>
      </c>
      <c r="J485">
        <v>0</v>
      </c>
      <c r="K485">
        <v>0</v>
      </c>
      <c r="L485">
        <v>0</v>
      </c>
      <c r="M485">
        <v>0</v>
      </c>
      <c r="N485">
        <v>0</v>
      </c>
      <c r="O485">
        <v>0</v>
      </c>
      <c r="P485" s="5">
        <f t="shared" si="79"/>
        <v>1247590.5225988701</v>
      </c>
      <c r="Q485">
        <f t="shared" si="80"/>
        <v>0</v>
      </c>
      <c r="R485">
        <f t="shared" si="81"/>
        <v>1247590.5225988701</v>
      </c>
      <c r="S485">
        <f t="shared" si="82"/>
        <v>0</v>
      </c>
      <c r="T485">
        <f t="shared" si="83"/>
        <v>0</v>
      </c>
      <c r="U485">
        <f t="shared" si="84"/>
        <v>0</v>
      </c>
      <c r="V485">
        <f t="shared" si="85"/>
        <v>0</v>
      </c>
      <c r="W485">
        <f t="shared" si="86"/>
        <v>0</v>
      </c>
      <c r="X485">
        <f t="shared" si="87"/>
        <v>0</v>
      </c>
      <c r="Y485">
        <f t="shared" si="88"/>
        <v>0</v>
      </c>
      <c r="Z485">
        <f t="shared" si="89"/>
        <v>0</v>
      </c>
      <c r="AA485" t="str">
        <f>INDEX('Priority activities'!$D$5:$D$86,MATCH('Database for analysis'!C485,'Priority activities'!$C$5:$C$86,0))</f>
        <v>n/a</v>
      </c>
    </row>
    <row r="486" spans="2:27" ht="16.5" thickTop="1" thickBot="1" x14ac:dyDescent="0.3">
      <c r="B486" t="s">
        <v>195</v>
      </c>
      <c r="C486" s="22" t="str">
        <f>'Costing inputs'!$C$223</f>
        <v>FP equipment for all health facilities (SDA10 &amp; SDA.12.1)</v>
      </c>
      <c r="D486" s="22" t="str">
        <f>'Costing inputs'!$U$223</f>
        <v>Health facilities (service delivery points)</v>
      </c>
      <c r="E486" s="22" t="str">
        <f>'Regional splits'!$F$14</f>
        <v>Luapula</v>
      </c>
      <c r="F486">
        <v>0</v>
      </c>
      <c r="G486">
        <v>865675.05649717525</v>
      </c>
      <c r="H486">
        <v>0</v>
      </c>
      <c r="I486">
        <v>0</v>
      </c>
      <c r="J486">
        <v>0</v>
      </c>
      <c r="K486">
        <v>0</v>
      </c>
      <c r="L486">
        <v>0</v>
      </c>
      <c r="M486">
        <v>0</v>
      </c>
      <c r="N486">
        <v>0</v>
      </c>
      <c r="O486">
        <v>0</v>
      </c>
      <c r="P486" s="5">
        <f t="shared" si="79"/>
        <v>865675.05649717525</v>
      </c>
      <c r="Q486">
        <f t="shared" si="80"/>
        <v>0</v>
      </c>
      <c r="R486">
        <f t="shared" si="81"/>
        <v>865675.05649717525</v>
      </c>
      <c r="S486">
        <f t="shared" si="82"/>
        <v>0</v>
      </c>
      <c r="T486">
        <f t="shared" si="83"/>
        <v>0</v>
      </c>
      <c r="U486">
        <f t="shared" si="84"/>
        <v>0</v>
      </c>
      <c r="V486">
        <f t="shared" si="85"/>
        <v>0</v>
      </c>
      <c r="W486">
        <f t="shared" si="86"/>
        <v>0</v>
      </c>
      <c r="X486">
        <f t="shared" si="87"/>
        <v>0</v>
      </c>
      <c r="Y486">
        <f t="shared" si="88"/>
        <v>0</v>
      </c>
      <c r="Z486">
        <f t="shared" si="89"/>
        <v>0</v>
      </c>
      <c r="AA486" t="str">
        <f>INDEX('Priority activities'!$D$5:$D$86,MATCH('Database for analysis'!C486,'Priority activities'!$C$5:$C$86,0))</f>
        <v>n/a</v>
      </c>
    </row>
    <row r="487" spans="2:27" ht="16.5" thickTop="1" thickBot="1" x14ac:dyDescent="0.3">
      <c r="B487" t="s">
        <v>195</v>
      </c>
      <c r="C487" s="22" t="str">
        <f>'Costing inputs'!$C$223</f>
        <v>FP equipment for all health facilities (SDA10 &amp; SDA.12.1)</v>
      </c>
      <c r="D487" s="22" t="str">
        <f>'Costing inputs'!$U$223</f>
        <v>Health facilities (service delivery points)</v>
      </c>
      <c r="E487" s="22" t="str">
        <f>'Regional splits'!$G$14</f>
        <v>Lusaka</v>
      </c>
      <c r="F487">
        <v>0</v>
      </c>
      <c r="G487">
        <v>1661332.2775423729</v>
      </c>
      <c r="H487">
        <v>0</v>
      </c>
      <c r="I487">
        <v>0</v>
      </c>
      <c r="J487">
        <v>0</v>
      </c>
      <c r="K487">
        <v>0</v>
      </c>
      <c r="L487">
        <v>0</v>
      </c>
      <c r="M487">
        <v>0</v>
      </c>
      <c r="N487">
        <v>0</v>
      </c>
      <c r="O487">
        <v>0</v>
      </c>
      <c r="P487" s="5">
        <f t="shared" si="79"/>
        <v>1661332.2775423729</v>
      </c>
      <c r="Q487">
        <f t="shared" si="80"/>
        <v>0</v>
      </c>
      <c r="R487">
        <f t="shared" si="81"/>
        <v>1661332.2775423729</v>
      </c>
      <c r="S487">
        <f t="shared" si="82"/>
        <v>0</v>
      </c>
      <c r="T487">
        <f t="shared" si="83"/>
        <v>0</v>
      </c>
      <c r="U487">
        <f t="shared" si="84"/>
        <v>0</v>
      </c>
      <c r="V487">
        <f t="shared" si="85"/>
        <v>0</v>
      </c>
      <c r="W487">
        <f t="shared" si="86"/>
        <v>0</v>
      </c>
      <c r="X487">
        <f t="shared" si="87"/>
        <v>0</v>
      </c>
      <c r="Y487">
        <f t="shared" si="88"/>
        <v>0</v>
      </c>
      <c r="Z487">
        <f t="shared" si="89"/>
        <v>0</v>
      </c>
      <c r="AA487" t="str">
        <f>INDEX('Priority activities'!$D$5:$D$86,MATCH('Database for analysis'!C487,'Priority activities'!$C$5:$C$86,0))</f>
        <v>n/a</v>
      </c>
    </row>
    <row r="488" spans="2:27" ht="16.5" thickTop="1" thickBot="1" x14ac:dyDescent="0.3">
      <c r="B488" t="s">
        <v>195</v>
      </c>
      <c r="C488" s="22" t="str">
        <f>'Costing inputs'!$C$223</f>
        <v>FP equipment for all health facilities (SDA10 &amp; SDA.12.1)</v>
      </c>
      <c r="D488" s="22" t="str">
        <f>'Costing inputs'!$U$223</f>
        <v>Health facilities (service delivery points)</v>
      </c>
      <c r="E488" s="22" t="str">
        <f>'Regional splits'!$H$14</f>
        <v>Muchinga</v>
      </c>
      <c r="F488">
        <v>0</v>
      </c>
      <c r="G488">
        <v>598334.23022598866</v>
      </c>
      <c r="H488">
        <v>0</v>
      </c>
      <c r="I488">
        <v>0</v>
      </c>
      <c r="J488">
        <v>0</v>
      </c>
      <c r="K488">
        <v>0</v>
      </c>
      <c r="L488">
        <v>0</v>
      </c>
      <c r="M488">
        <v>0</v>
      </c>
      <c r="N488">
        <v>0</v>
      </c>
      <c r="O488">
        <v>0</v>
      </c>
      <c r="P488" s="5">
        <f t="shared" si="79"/>
        <v>598334.23022598866</v>
      </c>
      <c r="Q488">
        <f t="shared" si="80"/>
        <v>0</v>
      </c>
      <c r="R488">
        <f t="shared" si="81"/>
        <v>598334.23022598866</v>
      </c>
      <c r="S488">
        <f t="shared" si="82"/>
        <v>0</v>
      </c>
      <c r="T488">
        <f t="shared" si="83"/>
        <v>0</v>
      </c>
      <c r="U488">
        <f t="shared" si="84"/>
        <v>0</v>
      </c>
      <c r="V488">
        <f t="shared" si="85"/>
        <v>0</v>
      </c>
      <c r="W488">
        <f t="shared" si="86"/>
        <v>0</v>
      </c>
      <c r="X488">
        <f t="shared" si="87"/>
        <v>0</v>
      </c>
      <c r="Y488">
        <f t="shared" si="88"/>
        <v>0</v>
      </c>
      <c r="Z488">
        <f t="shared" si="89"/>
        <v>0</v>
      </c>
      <c r="AA488" t="str">
        <f>INDEX('Priority activities'!$D$5:$D$86,MATCH('Database for analysis'!C488,'Priority activities'!$C$5:$C$86,0))</f>
        <v>n/a</v>
      </c>
    </row>
    <row r="489" spans="2:27" ht="16.5" thickTop="1" thickBot="1" x14ac:dyDescent="0.3">
      <c r="B489" t="s">
        <v>195</v>
      </c>
      <c r="C489" s="22" t="str">
        <f>'Costing inputs'!$C$223</f>
        <v>FP equipment for all health facilities (SDA10 &amp; SDA.12.1)</v>
      </c>
      <c r="D489" s="22" t="str">
        <f>'Costing inputs'!$U$223</f>
        <v>Health facilities (service delivery points)</v>
      </c>
      <c r="E489" s="22" t="str">
        <f>'Regional splits'!$I$14</f>
        <v>Northern</v>
      </c>
      <c r="F489">
        <v>0</v>
      </c>
      <c r="G489">
        <v>859309.79872881365</v>
      </c>
      <c r="H489">
        <v>0</v>
      </c>
      <c r="I489">
        <v>0</v>
      </c>
      <c r="J489">
        <v>0</v>
      </c>
      <c r="K489">
        <v>0</v>
      </c>
      <c r="L489">
        <v>0</v>
      </c>
      <c r="M489">
        <v>0</v>
      </c>
      <c r="N489">
        <v>0</v>
      </c>
      <c r="O489">
        <v>0</v>
      </c>
      <c r="P489" s="5">
        <f t="shared" si="79"/>
        <v>859309.79872881365</v>
      </c>
      <c r="Q489">
        <f t="shared" si="80"/>
        <v>0</v>
      </c>
      <c r="R489">
        <f t="shared" si="81"/>
        <v>859309.79872881365</v>
      </c>
      <c r="S489">
        <f t="shared" si="82"/>
        <v>0</v>
      </c>
      <c r="T489">
        <f t="shared" si="83"/>
        <v>0</v>
      </c>
      <c r="U489">
        <f t="shared" si="84"/>
        <v>0</v>
      </c>
      <c r="V489">
        <f t="shared" si="85"/>
        <v>0</v>
      </c>
      <c r="W489">
        <f t="shared" si="86"/>
        <v>0</v>
      </c>
      <c r="X489">
        <f t="shared" si="87"/>
        <v>0</v>
      </c>
      <c r="Y489">
        <f t="shared" si="88"/>
        <v>0</v>
      </c>
      <c r="Z489">
        <f t="shared" si="89"/>
        <v>0</v>
      </c>
      <c r="AA489" t="str">
        <f>INDEX('Priority activities'!$D$5:$D$86,MATCH('Database for analysis'!C489,'Priority activities'!$C$5:$C$86,0))</f>
        <v>n/a</v>
      </c>
    </row>
    <row r="490" spans="2:27" ht="16.5" thickTop="1" thickBot="1" x14ac:dyDescent="0.3">
      <c r="B490" t="s">
        <v>195</v>
      </c>
      <c r="C490" s="22" t="str">
        <f>'Costing inputs'!$C$223</f>
        <v>FP equipment for all health facilities (SDA10 &amp; SDA.12.1)</v>
      </c>
      <c r="D490" s="22" t="str">
        <f>'Costing inputs'!$U$223</f>
        <v>Health facilities (service delivery points)</v>
      </c>
      <c r="E490" s="22" t="str">
        <f>'Regional splits'!$J$14</f>
        <v>North Western</v>
      </c>
      <c r="F490">
        <v>0</v>
      </c>
      <c r="G490">
        <v>986614.95409604523</v>
      </c>
      <c r="H490">
        <v>0</v>
      </c>
      <c r="I490">
        <v>0</v>
      </c>
      <c r="J490">
        <v>0</v>
      </c>
      <c r="K490">
        <v>0</v>
      </c>
      <c r="L490">
        <v>0</v>
      </c>
      <c r="M490">
        <v>0</v>
      </c>
      <c r="N490">
        <v>0</v>
      </c>
      <c r="O490">
        <v>0</v>
      </c>
      <c r="P490" s="5">
        <f t="shared" si="79"/>
        <v>986614.95409604523</v>
      </c>
      <c r="Q490">
        <f t="shared" si="80"/>
        <v>0</v>
      </c>
      <c r="R490">
        <f t="shared" si="81"/>
        <v>986614.95409604523</v>
      </c>
      <c r="S490">
        <f t="shared" si="82"/>
        <v>0</v>
      </c>
      <c r="T490">
        <f t="shared" si="83"/>
        <v>0</v>
      </c>
      <c r="U490">
        <f t="shared" si="84"/>
        <v>0</v>
      </c>
      <c r="V490">
        <f t="shared" si="85"/>
        <v>0</v>
      </c>
      <c r="W490">
        <f t="shared" si="86"/>
        <v>0</v>
      </c>
      <c r="X490">
        <f t="shared" si="87"/>
        <v>0</v>
      </c>
      <c r="Y490">
        <f t="shared" si="88"/>
        <v>0</v>
      </c>
      <c r="Z490">
        <f t="shared" si="89"/>
        <v>0</v>
      </c>
      <c r="AA490" t="str">
        <f>INDEX('Priority activities'!$D$5:$D$86,MATCH('Database for analysis'!C490,'Priority activities'!$C$5:$C$86,0))</f>
        <v>n/a</v>
      </c>
    </row>
    <row r="491" spans="2:27" ht="16.5" thickTop="1" thickBot="1" x14ac:dyDescent="0.3">
      <c r="B491" t="s">
        <v>195</v>
      </c>
      <c r="C491" s="22" t="str">
        <f>'Costing inputs'!$C$223</f>
        <v>FP equipment for all health facilities (SDA10 &amp; SDA.12.1)</v>
      </c>
      <c r="D491" s="22" t="str">
        <f>'Costing inputs'!$U$223</f>
        <v>Health facilities (service delivery points)</v>
      </c>
      <c r="E491" s="22" t="str">
        <f>'Regional splits'!$K$14</f>
        <v>Southern</v>
      </c>
      <c r="F491">
        <v>0</v>
      </c>
      <c r="G491">
        <v>1514931.3488700564</v>
      </c>
      <c r="H491">
        <v>0</v>
      </c>
      <c r="I491">
        <v>0</v>
      </c>
      <c r="J491">
        <v>0</v>
      </c>
      <c r="K491">
        <v>0</v>
      </c>
      <c r="L491">
        <v>0</v>
      </c>
      <c r="M491">
        <v>0</v>
      </c>
      <c r="N491">
        <v>0</v>
      </c>
      <c r="O491">
        <v>0</v>
      </c>
      <c r="P491" s="5">
        <f t="shared" si="79"/>
        <v>1514931.3488700564</v>
      </c>
      <c r="Q491">
        <f t="shared" si="80"/>
        <v>0</v>
      </c>
      <c r="R491">
        <f t="shared" si="81"/>
        <v>1514931.3488700564</v>
      </c>
      <c r="S491">
        <f t="shared" si="82"/>
        <v>0</v>
      </c>
      <c r="T491">
        <f t="shared" si="83"/>
        <v>0</v>
      </c>
      <c r="U491">
        <f t="shared" si="84"/>
        <v>0</v>
      </c>
      <c r="V491">
        <f t="shared" si="85"/>
        <v>0</v>
      </c>
      <c r="W491">
        <f t="shared" si="86"/>
        <v>0</v>
      </c>
      <c r="X491">
        <f t="shared" si="87"/>
        <v>0</v>
      </c>
      <c r="Y491">
        <f t="shared" si="88"/>
        <v>0</v>
      </c>
      <c r="Z491">
        <f t="shared" si="89"/>
        <v>0</v>
      </c>
      <c r="AA491" t="str">
        <f>INDEX('Priority activities'!$D$5:$D$86,MATCH('Database for analysis'!C491,'Priority activities'!$C$5:$C$86,0))</f>
        <v>n/a</v>
      </c>
    </row>
    <row r="492" spans="2:27" ht="16.5" thickTop="1" thickBot="1" x14ac:dyDescent="0.3">
      <c r="B492" t="s">
        <v>195</v>
      </c>
      <c r="C492" s="22" t="str">
        <f>'Costing inputs'!$C$223</f>
        <v>FP equipment for all health facilities (SDA10 &amp; SDA.12.1)</v>
      </c>
      <c r="D492" s="22" t="str">
        <f>'Costing inputs'!$U$223</f>
        <v>Health facilities (service delivery points)</v>
      </c>
      <c r="E492" s="22" t="str">
        <f>'Regional splits'!$L$14</f>
        <v>Western</v>
      </c>
      <c r="F492">
        <v>0</v>
      </c>
      <c r="G492">
        <v>1018441.2429378531</v>
      </c>
      <c r="H492">
        <v>0</v>
      </c>
      <c r="I492">
        <v>0</v>
      </c>
      <c r="J492">
        <v>0</v>
      </c>
      <c r="K492">
        <v>0</v>
      </c>
      <c r="L492">
        <v>0</v>
      </c>
      <c r="M492">
        <v>0</v>
      </c>
      <c r="N492">
        <v>0</v>
      </c>
      <c r="O492">
        <v>0</v>
      </c>
      <c r="P492" s="5">
        <f t="shared" si="79"/>
        <v>1018441.2429378531</v>
      </c>
      <c r="Q492">
        <f t="shared" si="80"/>
        <v>0</v>
      </c>
      <c r="R492">
        <f t="shared" si="81"/>
        <v>1018441.2429378531</v>
      </c>
      <c r="S492">
        <f t="shared" si="82"/>
        <v>0</v>
      </c>
      <c r="T492">
        <f t="shared" si="83"/>
        <v>0</v>
      </c>
      <c r="U492">
        <f t="shared" si="84"/>
        <v>0</v>
      </c>
      <c r="V492">
        <f t="shared" si="85"/>
        <v>0</v>
      </c>
      <c r="W492">
        <f t="shared" si="86"/>
        <v>0</v>
      </c>
      <c r="X492">
        <f t="shared" si="87"/>
        <v>0</v>
      </c>
      <c r="Y492">
        <f t="shared" si="88"/>
        <v>0</v>
      </c>
      <c r="Z492">
        <f t="shared" si="89"/>
        <v>0</v>
      </c>
      <c r="AA492" t="str">
        <f>INDEX('Priority activities'!$D$5:$D$86,MATCH('Database for analysis'!C492,'Priority activities'!$C$5:$C$86,0))</f>
        <v>n/a</v>
      </c>
    </row>
    <row r="493" spans="2:27" ht="16.5" thickTop="1" thickBot="1" x14ac:dyDescent="0.3">
      <c r="B493" t="s">
        <v>195</v>
      </c>
      <c r="C493" s="22" t="str">
        <f>'Costing inputs'!$C$223</f>
        <v>FP equipment for all health facilities (SDA10 &amp; SDA.12.1)</v>
      </c>
      <c r="D493" s="22" t="str">
        <f>'Costing inputs'!$U$223</f>
        <v>Health facilities (service delivery points)</v>
      </c>
      <c r="E493" s="22">
        <f>'Regional splits'!$M$14</f>
        <v>0</v>
      </c>
      <c r="F493">
        <v>0</v>
      </c>
      <c r="G493">
        <v>0</v>
      </c>
      <c r="H493">
        <v>0</v>
      </c>
      <c r="I493">
        <v>0</v>
      </c>
      <c r="J493">
        <v>0</v>
      </c>
      <c r="K493">
        <v>0</v>
      </c>
      <c r="L493">
        <v>0</v>
      </c>
      <c r="M493">
        <v>0</v>
      </c>
      <c r="N493">
        <v>0</v>
      </c>
      <c r="O493">
        <v>0</v>
      </c>
      <c r="P493" s="5">
        <f t="shared" si="79"/>
        <v>0</v>
      </c>
      <c r="Q493">
        <f t="shared" si="80"/>
        <v>0</v>
      </c>
      <c r="R493">
        <f t="shared" si="81"/>
        <v>0</v>
      </c>
      <c r="S493">
        <f t="shared" si="82"/>
        <v>0</v>
      </c>
      <c r="T493">
        <f t="shared" si="83"/>
        <v>0</v>
      </c>
      <c r="U493">
        <f t="shared" si="84"/>
        <v>0</v>
      </c>
      <c r="V493">
        <f t="shared" si="85"/>
        <v>0</v>
      </c>
      <c r="W493">
        <f t="shared" si="86"/>
        <v>0</v>
      </c>
      <c r="X493">
        <f t="shared" si="87"/>
        <v>0</v>
      </c>
      <c r="Y493">
        <f t="shared" si="88"/>
        <v>0</v>
      </c>
      <c r="Z493">
        <f t="shared" si="89"/>
        <v>0</v>
      </c>
      <c r="AA493" t="str">
        <f>INDEX('Priority activities'!$D$5:$D$86,MATCH('Database for analysis'!C493,'Priority activities'!$C$5:$C$86,0))</f>
        <v>n/a</v>
      </c>
    </row>
    <row r="494" spans="2:27" ht="16.5" thickTop="1" thickBot="1" x14ac:dyDescent="0.3">
      <c r="B494" t="s">
        <v>195</v>
      </c>
      <c r="C494" s="22" t="str">
        <f>'Costing inputs'!$C$223</f>
        <v>FP equipment for all health facilities (SDA10 &amp; SDA.12.1)</v>
      </c>
      <c r="D494" s="22" t="str">
        <f>'Costing inputs'!$U$223</f>
        <v>Health facilities (service delivery points)</v>
      </c>
      <c r="E494" s="22">
        <f>'Regional splits'!$N$14</f>
        <v>0</v>
      </c>
      <c r="F494">
        <v>0</v>
      </c>
      <c r="G494">
        <v>0</v>
      </c>
      <c r="H494">
        <v>0</v>
      </c>
      <c r="I494">
        <v>0</v>
      </c>
      <c r="J494">
        <v>0</v>
      </c>
      <c r="K494">
        <v>0</v>
      </c>
      <c r="L494">
        <v>0</v>
      </c>
      <c r="M494">
        <v>0</v>
      </c>
      <c r="N494">
        <v>0</v>
      </c>
      <c r="O494">
        <v>0</v>
      </c>
      <c r="P494" s="5">
        <f t="shared" si="79"/>
        <v>0</v>
      </c>
      <c r="Q494">
        <f t="shared" si="80"/>
        <v>0</v>
      </c>
      <c r="R494">
        <f t="shared" si="81"/>
        <v>0</v>
      </c>
      <c r="S494">
        <f t="shared" si="82"/>
        <v>0</v>
      </c>
      <c r="T494">
        <f t="shared" si="83"/>
        <v>0</v>
      </c>
      <c r="U494">
        <f t="shared" si="84"/>
        <v>0</v>
      </c>
      <c r="V494">
        <f t="shared" si="85"/>
        <v>0</v>
      </c>
      <c r="W494">
        <f t="shared" si="86"/>
        <v>0</v>
      </c>
      <c r="X494">
        <f t="shared" si="87"/>
        <v>0</v>
      </c>
      <c r="Y494">
        <f t="shared" si="88"/>
        <v>0</v>
      </c>
      <c r="Z494">
        <f t="shared" si="89"/>
        <v>0</v>
      </c>
      <c r="AA494" t="str">
        <f>INDEX('Priority activities'!$D$5:$D$86,MATCH('Database for analysis'!C494,'Priority activities'!$C$5:$C$86,0))</f>
        <v>n/a</v>
      </c>
    </row>
    <row r="495" spans="2:27" ht="16.5" thickTop="1" thickBot="1" x14ac:dyDescent="0.3">
      <c r="B495" t="s">
        <v>195</v>
      </c>
      <c r="C495" s="22" t="str">
        <f>'Costing inputs'!$C$223</f>
        <v>FP equipment for all health facilities (SDA10 &amp; SDA.12.1)</v>
      </c>
      <c r="D495" s="22" t="str">
        <f>'Costing inputs'!$U$223</f>
        <v>Health facilities (service delivery points)</v>
      </c>
      <c r="E495" s="22">
        <f>'Regional splits'!$O$14</f>
        <v>0</v>
      </c>
      <c r="F495">
        <v>0</v>
      </c>
      <c r="G495">
        <v>0</v>
      </c>
      <c r="H495">
        <v>0</v>
      </c>
      <c r="I495">
        <v>0</v>
      </c>
      <c r="J495">
        <v>0</v>
      </c>
      <c r="K495">
        <v>0</v>
      </c>
      <c r="L495">
        <v>0</v>
      </c>
      <c r="M495">
        <v>0</v>
      </c>
      <c r="N495">
        <v>0</v>
      </c>
      <c r="O495">
        <v>0</v>
      </c>
      <c r="P495" s="5">
        <f t="shared" si="79"/>
        <v>0</v>
      </c>
      <c r="Q495">
        <f t="shared" si="80"/>
        <v>0</v>
      </c>
      <c r="R495">
        <f t="shared" si="81"/>
        <v>0</v>
      </c>
      <c r="S495">
        <f t="shared" si="82"/>
        <v>0</v>
      </c>
      <c r="T495">
        <f t="shared" si="83"/>
        <v>0</v>
      </c>
      <c r="U495">
        <f t="shared" si="84"/>
        <v>0</v>
      </c>
      <c r="V495">
        <f t="shared" si="85"/>
        <v>0</v>
      </c>
      <c r="W495">
        <f t="shared" si="86"/>
        <v>0</v>
      </c>
      <c r="X495">
        <f t="shared" si="87"/>
        <v>0</v>
      </c>
      <c r="Y495">
        <f t="shared" si="88"/>
        <v>0</v>
      </c>
      <c r="Z495">
        <f t="shared" si="89"/>
        <v>0</v>
      </c>
      <c r="AA495" t="str">
        <f>INDEX('Priority activities'!$D$5:$D$86,MATCH('Database for analysis'!C495,'Priority activities'!$C$5:$C$86,0))</f>
        <v>n/a</v>
      </c>
    </row>
    <row r="496" spans="2:27" ht="16.5" thickTop="1" thickBot="1" x14ac:dyDescent="0.3">
      <c r="B496" t="s">
        <v>195</v>
      </c>
      <c r="C496" s="22" t="str">
        <f>'Costing inputs'!$C$223</f>
        <v>FP equipment for all health facilities (SDA10 &amp; SDA.12.1)</v>
      </c>
      <c r="D496" s="22" t="str">
        <f>'Costing inputs'!$U$223</f>
        <v>Health facilities (service delivery points)</v>
      </c>
      <c r="E496" s="22">
        <f>'Regional splits'!$P$14</f>
        <v>0</v>
      </c>
      <c r="F496">
        <v>0</v>
      </c>
      <c r="G496">
        <v>0</v>
      </c>
      <c r="H496">
        <v>0</v>
      </c>
      <c r="I496">
        <v>0</v>
      </c>
      <c r="J496">
        <v>0</v>
      </c>
      <c r="K496">
        <v>0</v>
      </c>
      <c r="L496">
        <v>0</v>
      </c>
      <c r="M496">
        <v>0</v>
      </c>
      <c r="N496">
        <v>0</v>
      </c>
      <c r="O496">
        <v>0</v>
      </c>
      <c r="P496" s="5">
        <f t="shared" si="79"/>
        <v>0</v>
      </c>
      <c r="Q496">
        <f t="shared" si="80"/>
        <v>0</v>
      </c>
      <c r="R496">
        <f t="shared" si="81"/>
        <v>0</v>
      </c>
      <c r="S496">
        <f t="shared" si="82"/>
        <v>0</v>
      </c>
      <c r="T496">
        <f t="shared" si="83"/>
        <v>0</v>
      </c>
      <c r="U496">
        <f t="shared" si="84"/>
        <v>0</v>
      </c>
      <c r="V496">
        <f t="shared" si="85"/>
        <v>0</v>
      </c>
      <c r="W496">
        <f t="shared" si="86"/>
        <v>0</v>
      </c>
      <c r="X496">
        <f t="shared" si="87"/>
        <v>0</v>
      </c>
      <c r="Y496">
        <f t="shared" si="88"/>
        <v>0</v>
      </c>
      <c r="Z496">
        <f t="shared" si="89"/>
        <v>0</v>
      </c>
      <c r="AA496" t="str">
        <f>INDEX('Priority activities'!$D$5:$D$86,MATCH('Database for analysis'!C496,'Priority activities'!$C$5:$C$86,0))</f>
        <v>n/a</v>
      </c>
    </row>
    <row r="497" spans="2:27" ht="16.5" thickTop="1" thickBot="1" x14ac:dyDescent="0.3">
      <c r="B497" t="s">
        <v>195</v>
      </c>
      <c r="C497" s="22" t="str">
        <f>'Costing inputs'!$C$223</f>
        <v>FP equipment for all health facilities (SDA10 &amp; SDA.12.1)</v>
      </c>
      <c r="D497" s="22" t="str">
        <f>'Costing inputs'!$U$223</f>
        <v>Health facilities (service delivery points)</v>
      </c>
      <c r="E497" s="22">
        <f>'Regional splits'!$Q$14</f>
        <v>0</v>
      </c>
      <c r="F497">
        <v>0</v>
      </c>
      <c r="G497">
        <v>0</v>
      </c>
      <c r="H497">
        <v>0</v>
      </c>
      <c r="I497">
        <v>0</v>
      </c>
      <c r="J497">
        <v>0</v>
      </c>
      <c r="K497">
        <v>0</v>
      </c>
      <c r="L497">
        <v>0</v>
      </c>
      <c r="M497">
        <v>0</v>
      </c>
      <c r="N497">
        <v>0</v>
      </c>
      <c r="O497">
        <v>0</v>
      </c>
      <c r="P497" s="5">
        <f t="shared" si="79"/>
        <v>0</v>
      </c>
      <c r="Q497">
        <f t="shared" si="80"/>
        <v>0</v>
      </c>
      <c r="R497">
        <f t="shared" si="81"/>
        <v>0</v>
      </c>
      <c r="S497">
        <f t="shared" si="82"/>
        <v>0</v>
      </c>
      <c r="T497">
        <f t="shared" si="83"/>
        <v>0</v>
      </c>
      <c r="U497">
        <f t="shared" si="84"/>
        <v>0</v>
      </c>
      <c r="V497">
        <f t="shared" si="85"/>
        <v>0</v>
      </c>
      <c r="W497">
        <f t="shared" si="86"/>
        <v>0</v>
      </c>
      <c r="X497">
        <f t="shared" si="87"/>
        <v>0</v>
      </c>
      <c r="Y497">
        <f t="shared" si="88"/>
        <v>0</v>
      </c>
      <c r="Z497">
        <f t="shared" si="89"/>
        <v>0</v>
      </c>
      <c r="AA497" t="str">
        <f>INDEX('Priority activities'!$D$5:$D$86,MATCH('Database for analysis'!C497,'Priority activities'!$C$5:$C$86,0))</f>
        <v>n/a</v>
      </c>
    </row>
    <row r="498" spans="2:27" ht="16.5" thickTop="1" thickBot="1" x14ac:dyDescent="0.3">
      <c r="B498" t="s">
        <v>195</v>
      </c>
      <c r="C498" s="22" t="str">
        <f>'Costing inputs'!$C$223</f>
        <v>FP equipment for all health facilities (SDA10 &amp; SDA.12.1)</v>
      </c>
      <c r="D498" s="22" t="str">
        <f>'Costing inputs'!$U$223</f>
        <v>Health facilities (service delivery points)</v>
      </c>
      <c r="E498" s="22" t="str">
        <f>'Regional splits'!$R$14</f>
        <v>National-level</v>
      </c>
      <c r="F498">
        <v>0</v>
      </c>
      <c r="G498">
        <v>0</v>
      </c>
      <c r="H498">
        <v>0</v>
      </c>
      <c r="I498">
        <v>0</v>
      </c>
      <c r="J498">
        <v>0</v>
      </c>
      <c r="K498">
        <v>0</v>
      </c>
      <c r="L498">
        <v>0</v>
      </c>
      <c r="M498">
        <v>0</v>
      </c>
      <c r="N498">
        <v>0</v>
      </c>
      <c r="O498">
        <v>0</v>
      </c>
      <c r="P498" s="5">
        <f t="shared" si="79"/>
        <v>0</v>
      </c>
      <c r="Q498">
        <f t="shared" si="80"/>
        <v>0</v>
      </c>
      <c r="R498">
        <f t="shared" si="81"/>
        <v>0</v>
      </c>
      <c r="S498">
        <f t="shared" si="82"/>
        <v>0</v>
      </c>
      <c r="T498">
        <f t="shared" si="83"/>
        <v>0</v>
      </c>
      <c r="U498">
        <f t="shared" si="84"/>
        <v>0</v>
      </c>
      <c r="V498">
        <f t="shared" si="85"/>
        <v>0</v>
      </c>
      <c r="W498">
        <f t="shared" si="86"/>
        <v>0</v>
      </c>
      <c r="X498">
        <f t="shared" si="87"/>
        <v>0</v>
      </c>
      <c r="Y498">
        <f t="shared" si="88"/>
        <v>0</v>
      </c>
      <c r="Z498">
        <f t="shared" si="89"/>
        <v>0</v>
      </c>
      <c r="AA498" t="str">
        <f>INDEX('Priority activities'!$D$5:$D$86,MATCH('Database for analysis'!C498,'Priority activities'!$C$5:$C$86,0))</f>
        <v>n/a</v>
      </c>
    </row>
    <row r="499" spans="2:27" ht="16.5" thickTop="1" thickBot="1" x14ac:dyDescent="0.3">
      <c r="B499" t="s">
        <v>195</v>
      </c>
      <c r="C499" s="22" t="str">
        <f>'Costing inputs'!$C$238</f>
        <v>In-service training - training of trainers for CBDs (SDA 3.2)</v>
      </c>
      <c r="D499" s="22" t="str">
        <f>'Costing inputs'!$U$238</f>
        <v>Central level</v>
      </c>
      <c r="E499" s="22" t="str">
        <f>'Regional splits'!$C$14</f>
        <v>Central</v>
      </c>
      <c r="F499">
        <f t="array" ref="F499:O514">'Costing inputs'!S238*'Costing inputs'!AP238:AY238*TRANSPOSE('Costing inputs'!W238:AL238)</f>
        <v>0</v>
      </c>
      <c r="G499">
        <v>0</v>
      </c>
      <c r="H499">
        <v>0</v>
      </c>
      <c r="I499">
        <v>0</v>
      </c>
      <c r="J499">
        <v>0</v>
      </c>
      <c r="K499">
        <v>0</v>
      </c>
      <c r="L499">
        <v>0</v>
      </c>
      <c r="M499">
        <v>0</v>
      </c>
      <c r="N499">
        <v>0</v>
      </c>
      <c r="O499">
        <v>0</v>
      </c>
      <c r="P499" s="5">
        <f t="shared" si="79"/>
        <v>0</v>
      </c>
      <c r="Q499">
        <f t="shared" si="80"/>
        <v>0</v>
      </c>
      <c r="R499">
        <f t="shared" si="81"/>
        <v>0</v>
      </c>
      <c r="S499">
        <f t="shared" si="82"/>
        <v>0</v>
      </c>
      <c r="T499">
        <f t="shared" si="83"/>
        <v>0</v>
      </c>
      <c r="U499">
        <f t="shared" si="84"/>
        <v>0</v>
      </c>
      <c r="V499">
        <f t="shared" si="85"/>
        <v>0</v>
      </c>
      <c r="W499">
        <f t="shared" si="86"/>
        <v>0</v>
      </c>
      <c r="X499">
        <f t="shared" si="87"/>
        <v>0</v>
      </c>
      <c r="Y499">
        <f t="shared" si="88"/>
        <v>0</v>
      </c>
      <c r="Z499">
        <f t="shared" si="89"/>
        <v>0</v>
      </c>
      <c r="AA499" t="str">
        <f>INDEX('Priority activities'!$D$5:$D$86,MATCH('Database for analysis'!C499,'Priority activities'!$C$5:$C$86,0))</f>
        <v>Staff and training</v>
      </c>
    </row>
    <row r="500" spans="2:27" ht="16.5" thickTop="1" thickBot="1" x14ac:dyDescent="0.3">
      <c r="B500" t="s">
        <v>195</v>
      </c>
      <c r="C500" s="22" t="str">
        <f>'Costing inputs'!$C$238</f>
        <v>In-service training - training of trainers for CBDs (SDA 3.2)</v>
      </c>
      <c r="D500" s="22" t="str">
        <f>'Costing inputs'!$U$238</f>
        <v>Central level</v>
      </c>
      <c r="E500" s="22" t="str">
        <f>'Regional splits'!$D$14</f>
        <v>Copperbelt</v>
      </c>
      <c r="F500">
        <v>0</v>
      </c>
      <c r="G500">
        <v>0</v>
      </c>
      <c r="H500">
        <v>0</v>
      </c>
      <c r="I500">
        <v>0</v>
      </c>
      <c r="J500">
        <v>0</v>
      </c>
      <c r="K500">
        <v>0</v>
      </c>
      <c r="L500">
        <v>0</v>
      </c>
      <c r="M500">
        <v>0</v>
      </c>
      <c r="N500">
        <v>0</v>
      </c>
      <c r="O500">
        <v>0</v>
      </c>
      <c r="P500" s="5">
        <f t="shared" si="79"/>
        <v>0</v>
      </c>
      <c r="Q500">
        <f t="shared" si="80"/>
        <v>0</v>
      </c>
      <c r="R500">
        <f t="shared" si="81"/>
        <v>0</v>
      </c>
      <c r="S500">
        <f t="shared" si="82"/>
        <v>0</v>
      </c>
      <c r="T500">
        <f t="shared" si="83"/>
        <v>0</v>
      </c>
      <c r="U500">
        <f t="shared" si="84"/>
        <v>0</v>
      </c>
      <c r="V500">
        <f t="shared" si="85"/>
        <v>0</v>
      </c>
      <c r="W500">
        <f t="shared" si="86"/>
        <v>0</v>
      </c>
      <c r="X500">
        <f t="shared" si="87"/>
        <v>0</v>
      </c>
      <c r="Y500">
        <f t="shared" si="88"/>
        <v>0</v>
      </c>
      <c r="Z500">
        <f t="shared" si="89"/>
        <v>0</v>
      </c>
      <c r="AA500" t="str">
        <f>INDEX('Priority activities'!$D$5:$D$86,MATCH('Database for analysis'!C500,'Priority activities'!$C$5:$C$86,0))</f>
        <v>Staff and training</v>
      </c>
    </row>
    <row r="501" spans="2:27" ht="16.5" thickTop="1" thickBot="1" x14ac:dyDescent="0.3">
      <c r="B501" t="s">
        <v>195</v>
      </c>
      <c r="C501" s="22" t="str">
        <f>'Costing inputs'!$C$238</f>
        <v>In-service training - training of trainers for CBDs (SDA 3.2)</v>
      </c>
      <c r="D501" s="22" t="str">
        <f>'Costing inputs'!$U$238</f>
        <v>Central level</v>
      </c>
      <c r="E501" s="22" t="str">
        <f>'Regional splits'!$E$14</f>
        <v>Eastern</v>
      </c>
      <c r="F501">
        <v>0</v>
      </c>
      <c r="G501">
        <v>0</v>
      </c>
      <c r="H501">
        <v>0</v>
      </c>
      <c r="I501">
        <v>0</v>
      </c>
      <c r="J501">
        <v>0</v>
      </c>
      <c r="K501">
        <v>0</v>
      </c>
      <c r="L501">
        <v>0</v>
      </c>
      <c r="M501">
        <v>0</v>
      </c>
      <c r="N501">
        <v>0</v>
      </c>
      <c r="O501">
        <v>0</v>
      </c>
      <c r="P501" s="5">
        <f t="shared" si="79"/>
        <v>0</v>
      </c>
      <c r="Q501">
        <f t="shared" si="80"/>
        <v>0</v>
      </c>
      <c r="R501">
        <f t="shared" si="81"/>
        <v>0</v>
      </c>
      <c r="S501">
        <f t="shared" si="82"/>
        <v>0</v>
      </c>
      <c r="T501">
        <f t="shared" si="83"/>
        <v>0</v>
      </c>
      <c r="U501">
        <f t="shared" si="84"/>
        <v>0</v>
      </c>
      <c r="V501">
        <f t="shared" si="85"/>
        <v>0</v>
      </c>
      <c r="W501">
        <f t="shared" si="86"/>
        <v>0</v>
      </c>
      <c r="X501">
        <f t="shared" si="87"/>
        <v>0</v>
      </c>
      <c r="Y501">
        <f t="shared" si="88"/>
        <v>0</v>
      </c>
      <c r="Z501">
        <f t="shared" si="89"/>
        <v>0</v>
      </c>
      <c r="AA501" t="str">
        <f>INDEX('Priority activities'!$D$5:$D$86,MATCH('Database for analysis'!C501,'Priority activities'!$C$5:$C$86,0))</f>
        <v>Staff and training</v>
      </c>
    </row>
    <row r="502" spans="2:27" ht="16.5" thickTop="1" thickBot="1" x14ac:dyDescent="0.3">
      <c r="B502" t="s">
        <v>195</v>
      </c>
      <c r="C502" s="22" t="str">
        <f>'Costing inputs'!$C$238</f>
        <v>In-service training - training of trainers for CBDs (SDA 3.2)</v>
      </c>
      <c r="D502" s="22" t="str">
        <f>'Costing inputs'!$U$238</f>
        <v>Central level</v>
      </c>
      <c r="E502" s="22" t="str">
        <f>'Regional splits'!$F$14</f>
        <v>Luapula</v>
      </c>
      <c r="F502">
        <v>0</v>
      </c>
      <c r="G502">
        <v>0</v>
      </c>
      <c r="H502">
        <v>0</v>
      </c>
      <c r="I502">
        <v>0</v>
      </c>
      <c r="J502">
        <v>0</v>
      </c>
      <c r="K502">
        <v>0</v>
      </c>
      <c r="L502">
        <v>0</v>
      </c>
      <c r="M502">
        <v>0</v>
      </c>
      <c r="N502">
        <v>0</v>
      </c>
      <c r="O502">
        <v>0</v>
      </c>
      <c r="P502" s="5">
        <f t="shared" si="79"/>
        <v>0</v>
      </c>
      <c r="Q502">
        <f t="shared" si="80"/>
        <v>0</v>
      </c>
      <c r="R502">
        <f t="shared" si="81"/>
        <v>0</v>
      </c>
      <c r="S502">
        <f t="shared" si="82"/>
        <v>0</v>
      </c>
      <c r="T502">
        <f t="shared" si="83"/>
        <v>0</v>
      </c>
      <c r="U502">
        <f t="shared" si="84"/>
        <v>0</v>
      </c>
      <c r="V502">
        <f t="shared" si="85"/>
        <v>0</v>
      </c>
      <c r="W502">
        <f t="shared" si="86"/>
        <v>0</v>
      </c>
      <c r="X502">
        <f t="shared" si="87"/>
        <v>0</v>
      </c>
      <c r="Y502">
        <f t="shared" si="88"/>
        <v>0</v>
      </c>
      <c r="Z502">
        <f t="shared" si="89"/>
        <v>0</v>
      </c>
      <c r="AA502" t="str">
        <f>INDEX('Priority activities'!$D$5:$D$86,MATCH('Database for analysis'!C502,'Priority activities'!$C$5:$C$86,0))</f>
        <v>Staff and training</v>
      </c>
    </row>
    <row r="503" spans="2:27" ht="16.5" thickTop="1" thickBot="1" x14ac:dyDescent="0.3">
      <c r="B503" t="s">
        <v>195</v>
      </c>
      <c r="C503" s="22" t="str">
        <f>'Costing inputs'!$C$238</f>
        <v>In-service training - training of trainers for CBDs (SDA 3.2)</v>
      </c>
      <c r="D503" s="22" t="str">
        <f>'Costing inputs'!$U$238</f>
        <v>Central level</v>
      </c>
      <c r="E503" s="22" t="str">
        <f>'Regional splits'!$G$14</f>
        <v>Lusaka</v>
      </c>
      <c r="F503">
        <v>0</v>
      </c>
      <c r="G503">
        <v>0</v>
      </c>
      <c r="H503">
        <v>0</v>
      </c>
      <c r="I503">
        <v>0</v>
      </c>
      <c r="J503">
        <v>0</v>
      </c>
      <c r="K503">
        <v>0</v>
      </c>
      <c r="L503">
        <v>0</v>
      </c>
      <c r="M503">
        <v>0</v>
      </c>
      <c r="N503">
        <v>0</v>
      </c>
      <c r="O503">
        <v>0</v>
      </c>
      <c r="P503" s="5">
        <f t="shared" si="79"/>
        <v>0</v>
      </c>
      <c r="Q503">
        <f t="shared" si="80"/>
        <v>0</v>
      </c>
      <c r="R503">
        <f t="shared" si="81"/>
        <v>0</v>
      </c>
      <c r="S503">
        <f t="shared" si="82"/>
        <v>0</v>
      </c>
      <c r="T503">
        <f t="shared" si="83"/>
        <v>0</v>
      </c>
      <c r="U503">
        <f t="shared" si="84"/>
        <v>0</v>
      </c>
      <c r="V503">
        <f t="shared" si="85"/>
        <v>0</v>
      </c>
      <c r="W503">
        <f t="shared" si="86"/>
        <v>0</v>
      </c>
      <c r="X503">
        <f t="shared" si="87"/>
        <v>0</v>
      </c>
      <c r="Y503">
        <f t="shared" si="88"/>
        <v>0</v>
      </c>
      <c r="Z503">
        <f t="shared" si="89"/>
        <v>0</v>
      </c>
      <c r="AA503" t="str">
        <f>INDEX('Priority activities'!$D$5:$D$86,MATCH('Database for analysis'!C503,'Priority activities'!$C$5:$C$86,0))</f>
        <v>Staff and training</v>
      </c>
    </row>
    <row r="504" spans="2:27" ht="16.5" thickTop="1" thickBot="1" x14ac:dyDescent="0.3">
      <c r="B504" t="s">
        <v>195</v>
      </c>
      <c r="C504" s="22" t="str">
        <f>'Costing inputs'!$C$238</f>
        <v>In-service training - training of trainers for CBDs (SDA 3.2)</v>
      </c>
      <c r="D504" s="22" t="str">
        <f>'Costing inputs'!$U$238</f>
        <v>Central level</v>
      </c>
      <c r="E504" s="22" t="str">
        <f>'Regional splits'!$H$14</f>
        <v>Muchinga</v>
      </c>
      <c r="F504">
        <v>0</v>
      </c>
      <c r="G504">
        <v>0</v>
      </c>
      <c r="H504">
        <v>0</v>
      </c>
      <c r="I504">
        <v>0</v>
      </c>
      <c r="J504">
        <v>0</v>
      </c>
      <c r="K504">
        <v>0</v>
      </c>
      <c r="L504">
        <v>0</v>
      </c>
      <c r="M504">
        <v>0</v>
      </c>
      <c r="N504">
        <v>0</v>
      </c>
      <c r="O504">
        <v>0</v>
      </c>
      <c r="P504" s="5">
        <f t="shared" si="79"/>
        <v>0</v>
      </c>
      <c r="Q504">
        <f t="shared" si="80"/>
        <v>0</v>
      </c>
      <c r="R504">
        <f t="shared" si="81"/>
        <v>0</v>
      </c>
      <c r="S504">
        <f t="shared" si="82"/>
        <v>0</v>
      </c>
      <c r="T504">
        <f t="shared" si="83"/>
        <v>0</v>
      </c>
      <c r="U504">
        <f t="shared" si="84"/>
        <v>0</v>
      </c>
      <c r="V504">
        <f t="shared" si="85"/>
        <v>0</v>
      </c>
      <c r="W504">
        <f t="shared" si="86"/>
        <v>0</v>
      </c>
      <c r="X504">
        <f t="shared" si="87"/>
        <v>0</v>
      </c>
      <c r="Y504">
        <f t="shared" si="88"/>
        <v>0</v>
      </c>
      <c r="Z504">
        <f t="shared" si="89"/>
        <v>0</v>
      </c>
      <c r="AA504" t="str">
        <f>INDEX('Priority activities'!$D$5:$D$86,MATCH('Database for analysis'!C504,'Priority activities'!$C$5:$C$86,0))</f>
        <v>Staff and training</v>
      </c>
    </row>
    <row r="505" spans="2:27" ht="16.5" thickTop="1" thickBot="1" x14ac:dyDescent="0.3">
      <c r="B505" t="s">
        <v>195</v>
      </c>
      <c r="C505" s="22" t="str">
        <f>'Costing inputs'!$C$238</f>
        <v>In-service training - training of trainers for CBDs (SDA 3.2)</v>
      </c>
      <c r="D505" s="22" t="str">
        <f>'Costing inputs'!$U$238</f>
        <v>Central level</v>
      </c>
      <c r="E505" s="22" t="str">
        <f>'Regional splits'!$I$14</f>
        <v>Northern</v>
      </c>
      <c r="F505">
        <v>0</v>
      </c>
      <c r="G505">
        <v>0</v>
      </c>
      <c r="H505">
        <v>0</v>
      </c>
      <c r="I505">
        <v>0</v>
      </c>
      <c r="J505">
        <v>0</v>
      </c>
      <c r="K505">
        <v>0</v>
      </c>
      <c r="L505">
        <v>0</v>
      </c>
      <c r="M505">
        <v>0</v>
      </c>
      <c r="N505">
        <v>0</v>
      </c>
      <c r="O505">
        <v>0</v>
      </c>
      <c r="P505" s="5">
        <f t="shared" si="79"/>
        <v>0</v>
      </c>
      <c r="Q505">
        <f t="shared" si="80"/>
        <v>0</v>
      </c>
      <c r="R505">
        <f t="shared" si="81"/>
        <v>0</v>
      </c>
      <c r="S505">
        <f t="shared" si="82"/>
        <v>0</v>
      </c>
      <c r="T505">
        <f t="shared" si="83"/>
        <v>0</v>
      </c>
      <c r="U505">
        <f t="shared" si="84"/>
        <v>0</v>
      </c>
      <c r="V505">
        <f t="shared" si="85"/>
        <v>0</v>
      </c>
      <c r="W505">
        <f t="shared" si="86"/>
        <v>0</v>
      </c>
      <c r="X505">
        <f t="shared" si="87"/>
        <v>0</v>
      </c>
      <c r="Y505">
        <f t="shared" si="88"/>
        <v>0</v>
      </c>
      <c r="Z505">
        <f t="shared" si="89"/>
        <v>0</v>
      </c>
      <c r="AA505" t="str">
        <f>INDEX('Priority activities'!$D$5:$D$86,MATCH('Database for analysis'!C505,'Priority activities'!$C$5:$C$86,0))</f>
        <v>Staff and training</v>
      </c>
    </row>
    <row r="506" spans="2:27" ht="16.5" thickTop="1" thickBot="1" x14ac:dyDescent="0.3">
      <c r="B506" t="s">
        <v>195</v>
      </c>
      <c r="C506" s="22" t="str">
        <f>'Costing inputs'!$C$238</f>
        <v>In-service training - training of trainers for CBDs (SDA 3.2)</v>
      </c>
      <c r="D506" s="22" t="str">
        <f>'Costing inputs'!$U$238</f>
        <v>Central level</v>
      </c>
      <c r="E506" s="22" t="str">
        <f>'Regional splits'!$J$14</f>
        <v>North Western</v>
      </c>
      <c r="F506">
        <v>0</v>
      </c>
      <c r="G506">
        <v>0</v>
      </c>
      <c r="H506">
        <v>0</v>
      </c>
      <c r="I506">
        <v>0</v>
      </c>
      <c r="J506">
        <v>0</v>
      </c>
      <c r="K506">
        <v>0</v>
      </c>
      <c r="L506">
        <v>0</v>
      </c>
      <c r="M506">
        <v>0</v>
      </c>
      <c r="N506">
        <v>0</v>
      </c>
      <c r="O506">
        <v>0</v>
      </c>
      <c r="P506" s="5">
        <f t="shared" si="79"/>
        <v>0</v>
      </c>
      <c r="Q506">
        <f t="shared" si="80"/>
        <v>0</v>
      </c>
      <c r="R506">
        <f t="shared" si="81"/>
        <v>0</v>
      </c>
      <c r="S506">
        <f t="shared" si="82"/>
        <v>0</v>
      </c>
      <c r="T506">
        <f t="shared" si="83"/>
        <v>0</v>
      </c>
      <c r="U506">
        <f t="shared" si="84"/>
        <v>0</v>
      </c>
      <c r="V506">
        <f t="shared" si="85"/>
        <v>0</v>
      </c>
      <c r="W506">
        <f t="shared" si="86"/>
        <v>0</v>
      </c>
      <c r="X506">
        <f t="shared" si="87"/>
        <v>0</v>
      </c>
      <c r="Y506">
        <f t="shared" si="88"/>
        <v>0</v>
      </c>
      <c r="Z506">
        <f t="shared" si="89"/>
        <v>0</v>
      </c>
      <c r="AA506" t="str">
        <f>INDEX('Priority activities'!$D$5:$D$86,MATCH('Database for analysis'!C506,'Priority activities'!$C$5:$C$86,0))</f>
        <v>Staff and training</v>
      </c>
    </row>
    <row r="507" spans="2:27" ht="16.5" thickTop="1" thickBot="1" x14ac:dyDescent="0.3">
      <c r="B507" t="s">
        <v>195</v>
      </c>
      <c r="C507" s="22" t="str">
        <f>'Costing inputs'!$C$238</f>
        <v>In-service training - training of trainers for CBDs (SDA 3.2)</v>
      </c>
      <c r="D507" s="22" t="str">
        <f>'Costing inputs'!$U$238</f>
        <v>Central level</v>
      </c>
      <c r="E507" s="22" t="str">
        <f>'Regional splits'!$K$14</f>
        <v>Southern</v>
      </c>
      <c r="F507">
        <v>0</v>
      </c>
      <c r="G507">
        <v>0</v>
      </c>
      <c r="H507">
        <v>0</v>
      </c>
      <c r="I507">
        <v>0</v>
      </c>
      <c r="J507">
        <v>0</v>
      </c>
      <c r="K507">
        <v>0</v>
      </c>
      <c r="L507">
        <v>0</v>
      </c>
      <c r="M507">
        <v>0</v>
      </c>
      <c r="N507">
        <v>0</v>
      </c>
      <c r="O507">
        <v>0</v>
      </c>
      <c r="P507" s="5">
        <f t="shared" si="79"/>
        <v>0</v>
      </c>
      <c r="Q507">
        <f t="shared" si="80"/>
        <v>0</v>
      </c>
      <c r="R507">
        <f t="shared" si="81"/>
        <v>0</v>
      </c>
      <c r="S507">
        <f t="shared" si="82"/>
        <v>0</v>
      </c>
      <c r="T507">
        <f t="shared" si="83"/>
        <v>0</v>
      </c>
      <c r="U507">
        <f t="shared" si="84"/>
        <v>0</v>
      </c>
      <c r="V507">
        <f t="shared" si="85"/>
        <v>0</v>
      </c>
      <c r="W507">
        <f t="shared" si="86"/>
        <v>0</v>
      </c>
      <c r="X507">
        <f t="shared" si="87"/>
        <v>0</v>
      </c>
      <c r="Y507">
        <f t="shared" si="88"/>
        <v>0</v>
      </c>
      <c r="Z507">
        <f t="shared" si="89"/>
        <v>0</v>
      </c>
      <c r="AA507" t="str">
        <f>INDEX('Priority activities'!$D$5:$D$86,MATCH('Database for analysis'!C507,'Priority activities'!$C$5:$C$86,0))</f>
        <v>Staff and training</v>
      </c>
    </row>
    <row r="508" spans="2:27" ht="16.5" thickTop="1" thickBot="1" x14ac:dyDescent="0.3">
      <c r="B508" t="s">
        <v>195</v>
      </c>
      <c r="C508" s="22" t="str">
        <f>'Costing inputs'!$C$238</f>
        <v>In-service training - training of trainers for CBDs (SDA 3.2)</v>
      </c>
      <c r="D508" s="22" t="str">
        <f>'Costing inputs'!$U$238</f>
        <v>Central level</v>
      </c>
      <c r="E508" s="22" t="str">
        <f>'Regional splits'!$L$14</f>
        <v>Western</v>
      </c>
      <c r="F508">
        <v>0</v>
      </c>
      <c r="G508">
        <v>0</v>
      </c>
      <c r="H508">
        <v>0</v>
      </c>
      <c r="I508">
        <v>0</v>
      </c>
      <c r="J508">
        <v>0</v>
      </c>
      <c r="K508">
        <v>0</v>
      </c>
      <c r="L508">
        <v>0</v>
      </c>
      <c r="M508">
        <v>0</v>
      </c>
      <c r="N508">
        <v>0</v>
      </c>
      <c r="O508">
        <v>0</v>
      </c>
      <c r="P508" s="5">
        <f t="shared" si="79"/>
        <v>0</v>
      </c>
      <c r="Q508">
        <f t="shared" si="80"/>
        <v>0</v>
      </c>
      <c r="R508">
        <f t="shared" si="81"/>
        <v>0</v>
      </c>
      <c r="S508">
        <f t="shared" si="82"/>
        <v>0</v>
      </c>
      <c r="T508">
        <f t="shared" si="83"/>
        <v>0</v>
      </c>
      <c r="U508">
        <f t="shared" si="84"/>
        <v>0</v>
      </c>
      <c r="V508">
        <f t="shared" si="85"/>
        <v>0</v>
      </c>
      <c r="W508">
        <f t="shared" si="86"/>
        <v>0</v>
      </c>
      <c r="X508">
        <f t="shared" si="87"/>
        <v>0</v>
      </c>
      <c r="Y508">
        <f t="shared" si="88"/>
        <v>0</v>
      </c>
      <c r="Z508">
        <f t="shared" si="89"/>
        <v>0</v>
      </c>
      <c r="AA508" t="str">
        <f>INDEX('Priority activities'!$D$5:$D$86,MATCH('Database for analysis'!C508,'Priority activities'!$C$5:$C$86,0))</f>
        <v>Staff and training</v>
      </c>
    </row>
    <row r="509" spans="2:27" ht="16.5" thickTop="1" thickBot="1" x14ac:dyDescent="0.3">
      <c r="B509" t="s">
        <v>195</v>
      </c>
      <c r="C509" s="22" t="str">
        <f>'Costing inputs'!$C$238</f>
        <v>In-service training - training of trainers for CBDs (SDA 3.2)</v>
      </c>
      <c r="D509" s="22" t="str">
        <f>'Costing inputs'!$U$238</f>
        <v>Central level</v>
      </c>
      <c r="E509" s="22">
        <f>'Regional splits'!$M$14</f>
        <v>0</v>
      </c>
      <c r="F509">
        <v>0</v>
      </c>
      <c r="G509">
        <v>0</v>
      </c>
      <c r="H509">
        <v>0</v>
      </c>
      <c r="I509">
        <v>0</v>
      </c>
      <c r="J509">
        <v>0</v>
      </c>
      <c r="K509">
        <v>0</v>
      </c>
      <c r="L509">
        <v>0</v>
      </c>
      <c r="M509">
        <v>0</v>
      </c>
      <c r="N509">
        <v>0</v>
      </c>
      <c r="O509">
        <v>0</v>
      </c>
      <c r="P509" s="5">
        <f t="shared" si="79"/>
        <v>0</v>
      </c>
      <c r="Q509">
        <f t="shared" si="80"/>
        <v>0</v>
      </c>
      <c r="R509">
        <f t="shared" si="81"/>
        <v>0</v>
      </c>
      <c r="S509">
        <f t="shared" si="82"/>
        <v>0</v>
      </c>
      <c r="T509">
        <f t="shared" si="83"/>
        <v>0</v>
      </c>
      <c r="U509">
        <f t="shared" si="84"/>
        <v>0</v>
      </c>
      <c r="V509">
        <f t="shared" si="85"/>
        <v>0</v>
      </c>
      <c r="W509">
        <f t="shared" si="86"/>
        <v>0</v>
      </c>
      <c r="X509">
        <f t="shared" si="87"/>
        <v>0</v>
      </c>
      <c r="Y509">
        <f t="shared" si="88"/>
        <v>0</v>
      </c>
      <c r="Z509">
        <f t="shared" si="89"/>
        <v>0</v>
      </c>
      <c r="AA509" t="str">
        <f>INDEX('Priority activities'!$D$5:$D$86,MATCH('Database for analysis'!C509,'Priority activities'!$C$5:$C$86,0))</f>
        <v>Staff and training</v>
      </c>
    </row>
    <row r="510" spans="2:27" ht="16.5" thickTop="1" thickBot="1" x14ac:dyDescent="0.3">
      <c r="B510" t="s">
        <v>195</v>
      </c>
      <c r="C510" s="22" t="str">
        <f>'Costing inputs'!$C$238</f>
        <v>In-service training - training of trainers for CBDs (SDA 3.2)</v>
      </c>
      <c r="D510" s="22" t="str">
        <f>'Costing inputs'!$U$238</f>
        <v>Central level</v>
      </c>
      <c r="E510" s="22">
        <f>'Regional splits'!$N$14</f>
        <v>0</v>
      </c>
      <c r="F510">
        <v>0</v>
      </c>
      <c r="G510">
        <v>0</v>
      </c>
      <c r="H510">
        <v>0</v>
      </c>
      <c r="I510">
        <v>0</v>
      </c>
      <c r="J510">
        <v>0</v>
      </c>
      <c r="K510">
        <v>0</v>
      </c>
      <c r="L510">
        <v>0</v>
      </c>
      <c r="M510">
        <v>0</v>
      </c>
      <c r="N510">
        <v>0</v>
      </c>
      <c r="O510">
        <v>0</v>
      </c>
      <c r="P510" s="5">
        <f t="shared" si="79"/>
        <v>0</v>
      </c>
      <c r="Q510">
        <f t="shared" si="80"/>
        <v>0</v>
      </c>
      <c r="R510">
        <f t="shared" si="81"/>
        <v>0</v>
      </c>
      <c r="S510">
        <f t="shared" si="82"/>
        <v>0</v>
      </c>
      <c r="T510">
        <f t="shared" si="83"/>
        <v>0</v>
      </c>
      <c r="U510">
        <f t="shared" si="84"/>
        <v>0</v>
      </c>
      <c r="V510">
        <f t="shared" si="85"/>
        <v>0</v>
      </c>
      <c r="W510">
        <f t="shared" si="86"/>
        <v>0</v>
      </c>
      <c r="X510">
        <f t="shared" si="87"/>
        <v>0</v>
      </c>
      <c r="Y510">
        <f t="shared" si="88"/>
        <v>0</v>
      </c>
      <c r="Z510">
        <f t="shared" si="89"/>
        <v>0</v>
      </c>
      <c r="AA510" t="str">
        <f>INDEX('Priority activities'!$D$5:$D$86,MATCH('Database for analysis'!C510,'Priority activities'!$C$5:$C$86,0))</f>
        <v>Staff and training</v>
      </c>
    </row>
    <row r="511" spans="2:27" ht="16.5" thickTop="1" thickBot="1" x14ac:dyDescent="0.3">
      <c r="B511" t="s">
        <v>195</v>
      </c>
      <c r="C511" s="22" t="str">
        <f>'Costing inputs'!$C$238</f>
        <v>In-service training - training of trainers for CBDs (SDA 3.2)</v>
      </c>
      <c r="D511" s="22" t="str">
        <f>'Costing inputs'!$U$238</f>
        <v>Central level</v>
      </c>
      <c r="E511" s="22">
        <f>'Regional splits'!$O$14</f>
        <v>0</v>
      </c>
      <c r="F511">
        <v>0</v>
      </c>
      <c r="G511">
        <v>0</v>
      </c>
      <c r="H511">
        <v>0</v>
      </c>
      <c r="I511">
        <v>0</v>
      </c>
      <c r="J511">
        <v>0</v>
      </c>
      <c r="K511">
        <v>0</v>
      </c>
      <c r="L511">
        <v>0</v>
      </c>
      <c r="M511">
        <v>0</v>
      </c>
      <c r="N511">
        <v>0</v>
      </c>
      <c r="O511">
        <v>0</v>
      </c>
      <c r="P511" s="5">
        <f t="shared" si="79"/>
        <v>0</v>
      </c>
      <c r="Q511">
        <f t="shared" si="80"/>
        <v>0</v>
      </c>
      <c r="R511">
        <f t="shared" si="81"/>
        <v>0</v>
      </c>
      <c r="S511">
        <f t="shared" si="82"/>
        <v>0</v>
      </c>
      <c r="T511">
        <f t="shared" si="83"/>
        <v>0</v>
      </c>
      <c r="U511">
        <f t="shared" si="84"/>
        <v>0</v>
      </c>
      <c r="V511">
        <f t="shared" si="85"/>
        <v>0</v>
      </c>
      <c r="W511">
        <f t="shared" si="86"/>
        <v>0</v>
      </c>
      <c r="X511">
        <f t="shared" si="87"/>
        <v>0</v>
      </c>
      <c r="Y511">
        <f t="shared" si="88"/>
        <v>0</v>
      </c>
      <c r="Z511">
        <f t="shared" si="89"/>
        <v>0</v>
      </c>
      <c r="AA511" t="str">
        <f>INDEX('Priority activities'!$D$5:$D$86,MATCH('Database for analysis'!C511,'Priority activities'!$C$5:$C$86,0))</f>
        <v>Staff and training</v>
      </c>
    </row>
    <row r="512" spans="2:27" ht="16.5" thickTop="1" thickBot="1" x14ac:dyDescent="0.3">
      <c r="B512" t="s">
        <v>195</v>
      </c>
      <c r="C512" s="22" t="str">
        <f>'Costing inputs'!$C$238</f>
        <v>In-service training - training of trainers for CBDs (SDA 3.2)</v>
      </c>
      <c r="D512" s="22" t="str">
        <f>'Costing inputs'!$U$238</f>
        <v>Central level</v>
      </c>
      <c r="E512" s="22">
        <f>'Regional splits'!$P$14</f>
        <v>0</v>
      </c>
      <c r="F512">
        <v>0</v>
      </c>
      <c r="G512">
        <v>0</v>
      </c>
      <c r="H512">
        <v>0</v>
      </c>
      <c r="I512">
        <v>0</v>
      </c>
      <c r="J512">
        <v>0</v>
      </c>
      <c r="K512">
        <v>0</v>
      </c>
      <c r="L512">
        <v>0</v>
      </c>
      <c r="M512">
        <v>0</v>
      </c>
      <c r="N512">
        <v>0</v>
      </c>
      <c r="O512">
        <v>0</v>
      </c>
      <c r="P512" s="5">
        <f t="shared" si="79"/>
        <v>0</v>
      </c>
      <c r="Q512">
        <f t="shared" si="80"/>
        <v>0</v>
      </c>
      <c r="R512">
        <f t="shared" si="81"/>
        <v>0</v>
      </c>
      <c r="S512">
        <f t="shared" si="82"/>
        <v>0</v>
      </c>
      <c r="T512">
        <f t="shared" si="83"/>
        <v>0</v>
      </c>
      <c r="U512">
        <f t="shared" si="84"/>
        <v>0</v>
      </c>
      <c r="V512">
        <f t="shared" si="85"/>
        <v>0</v>
      </c>
      <c r="W512">
        <f t="shared" si="86"/>
        <v>0</v>
      </c>
      <c r="X512">
        <f t="shared" si="87"/>
        <v>0</v>
      </c>
      <c r="Y512">
        <f t="shared" si="88"/>
        <v>0</v>
      </c>
      <c r="Z512">
        <f t="shared" si="89"/>
        <v>0</v>
      </c>
      <c r="AA512" t="str">
        <f>INDEX('Priority activities'!$D$5:$D$86,MATCH('Database for analysis'!C512,'Priority activities'!$C$5:$C$86,0))</f>
        <v>Staff and training</v>
      </c>
    </row>
    <row r="513" spans="2:27" ht="16.5" thickTop="1" thickBot="1" x14ac:dyDescent="0.3">
      <c r="B513" t="s">
        <v>195</v>
      </c>
      <c r="C513" s="22" t="str">
        <f>'Costing inputs'!$C$238</f>
        <v>In-service training - training of trainers for CBDs (SDA 3.2)</v>
      </c>
      <c r="D513" s="22" t="str">
        <f>'Costing inputs'!$U$238</f>
        <v>Central level</v>
      </c>
      <c r="E513" s="22">
        <f>'Regional splits'!$Q$14</f>
        <v>0</v>
      </c>
      <c r="F513">
        <v>0</v>
      </c>
      <c r="G513">
        <v>0</v>
      </c>
      <c r="H513">
        <v>0</v>
      </c>
      <c r="I513">
        <v>0</v>
      </c>
      <c r="J513">
        <v>0</v>
      </c>
      <c r="K513">
        <v>0</v>
      </c>
      <c r="L513">
        <v>0</v>
      </c>
      <c r="M513">
        <v>0</v>
      </c>
      <c r="N513">
        <v>0</v>
      </c>
      <c r="O513">
        <v>0</v>
      </c>
      <c r="P513" s="5">
        <f t="shared" si="79"/>
        <v>0</v>
      </c>
      <c r="Q513">
        <f t="shared" si="80"/>
        <v>0</v>
      </c>
      <c r="R513">
        <f t="shared" si="81"/>
        <v>0</v>
      </c>
      <c r="S513">
        <f t="shared" si="82"/>
        <v>0</v>
      </c>
      <c r="T513">
        <f t="shared" si="83"/>
        <v>0</v>
      </c>
      <c r="U513">
        <f t="shared" si="84"/>
        <v>0</v>
      </c>
      <c r="V513">
        <f t="shared" si="85"/>
        <v>0</v>
      </c>
      <c r="W513">
        <f t="shared" si="86"/>
        <v>0</v>
      </c>
      <c r="X513">
        <f t="shared" si="87"/>
        <v>0</v>
      </c>
      <c r="Y513">
        <f t="shared" si="88"/>
        <v>0</v>
      </c>
      <c r="Z513">
        <f t="shared" si="89"/>
        <v>0</v>
      </c>
      <c r="AA513" t="str">
        <f>INDEX('Priority activities'!$D$5:$D$86,MATCH('Database for analysis'!C513,'Priority activities'!$C$5:$C$86,0))</f>
        <v>Staff and training</v>
      </c>
    </row>
    <row r="514" spans="2:27" ht="16.5" thickTop="1" thickBot="1" x14ac:dyDescent="0.3">
      <c r="B514" t="s">
        <v>195</v>
      </c>
      <c r="C514" s="22" t="str">
        <f>'Costing inputs'!$C$238</f>
        <v>In-service training - training of trainers for CBDs (SDA 3.2)</v>
      </c>
      <c r="D514" s="22" t="str">
        <f>'Costing inputs'!$U$238</f>
        <v>Central level</v>
      </c>
      <c r="E514" s="22" t="str">
        <f>'Regional splits'!$R$14</f>
        <v>National-level</v>
      </c>
      <c r="F514">
        <v>176952.128</v>
      </c>
      <c r="G514">
        <v>176952.128</v>
      </c>
      <c r="H514">
        <v>176952.128</v>
      </c>
      <c r="I514">
        <v>176952.128</v>
      </c>
      <c r="J514">
        <v>0</v>
      </c>
      <c r="K514">
        <v>0</v>
      </c>
      <c r="L514">
        <v>0</v>
      </c>
      <c r="M514">
        <v>0</v>
      </c>
      <c r="N514">
        <v>0</v>
      </c>
      <c r="O514">
        <v>0</v>
      </c>
      <c r="P514" s="5">
        <f t="shared" si="79"/>
        <v>707808.51199999999</v>
      </c>
      <c r="Q514">
        <f t="shared" si="80"/>
        <v>176952.128</v>
      </c>
      <c r="R514">
        <f t="shared" si="81"/>
        <v>176952.128</v>
      </c>
      <c r="S514">
        <f t="shared" si="82"/>
        <v>176952.128</v>
      </c>
      <c r="T514">
        <f t="shared" si="83"/>
        <v>176952.128</v>
      </c>
      <c r="U514">
        <f t="shared" si="84"/>
        <v>0</v>
      </c>
      <c r="V514">
        <f t="shared" si="85"/>
        <v>0</v>
      </c>
      <c r="W514">
        <f t="shared" si="86"/>
        <v>0</v>
      </c>
      <c r="X514">
        <f t="shared" si="87"/>
        <v>0</v>
      </c>
      <c r="Y514">
        <f t="shared" si="88"/>
        <v>0</v>
      </c>
      <c r="Z514">
        <f t="shared" si="89"/>
        <v>0</v>
      </c>
      <c r="AA514" t="str">
        <f>INDEX('Priority activities'!$D$5:$D$86,MATCH('Database for analysis'!C514,'Priority activities'!$C$5:$C$86,0))</f>
        <v>Staff and training</v>
      </c>
    </row>
    <row r="515" spans="2:27" ht="16.5" thickTop="1" thickBot="1" x14ac:dyDescent="0.3">
      <c r="B515" t="s">
        <v>195</v>
      </c>
      <c r="C515" s="22" t="str">
        <f>'Costing inputs'!$C$242</f>
        <v>Integration of FP with other health services (SDA11)</v>
      </c>
      <c r="D515" s="22" t="str">
        <f>'Costing inputs'!$U$242</f>
        <v>Central level</v>
      </c>
      <c r="E515" s="22" t="str">
        <f>'Regional splits'!$C$14</f>
        <v>Central</v>
      </c>
      <c r="F515">
        <f t="array" ref="F515:O530">'Costing inputs'!S242*'Costing inputs'!AP242:AY242*TRANSPOSE('Costing inputs'!W242:AL242)</f>
        <v>0</v>
      </c>
      <c r="G515">
        <v>0</v>
      </c>
      <c r="H515">
        <v>0</v>
      </c>
      <c r="I515">
        <v>0</v>
      </c>
      <c r="J515">
        <v>0</v>
      </c>
      <c r="K515">
        <v>0</v>
      </c>
      <c r="L515">
        <v>0</v>
      </c>
      <c r="M515">
        <v>0</v>
      </c>
      <c r="N515">
        <v>0</v>
      </c>
      <c r="O515">
        <v>0</v>
      </c>
      <c r="P515" s="5">
        <f t="shared" si="79"/>
        <v>0</v>
      </c>
      <c r="Q515">
        <f t="shared" si="80"/>
        <v>0</v>
      </c>
      <c r="R515">
        <f t="shared" si="81"/>
        <v>0</v>
      </c>
      <c r="S515">
        <f t="shared" si="82"/>
        <v>0</v>
      </c>
      <c r="T515">
        <f t="shared" si="83"/>
        <v>0</v>
      </c>
      <c r="U515">
        <f t="shared" si="84"/>
        <v>0</v>
      </c>
      <c r="V515">
        <f t="shared" si="85"/>
        <v>0</v>
      </c>
      <c r="W515">
        <f t="shared" si="86"/>
        <v>0</v>
      </c>
      <c r="X515">
        <f t="shared" si="87"/>
        <v>0</v>
      </c>
      <c r="Y515">
        <f t="shared" si="88"/>
        <v>0</v>
      </c>
      <c r="Z515">
        <f t="shared" si="89"/>
        <v>0</v>
      </c>
      <c r="AA515" t="str">
        <f>INDEX('Priority activities'!$D$5:$D$86,MATCH('Database for analysis'!C515,'Priority activities'!$C$5:$C$86,0))</f>
        <v>n/a</v>
      </c>
    </row>
    <row r="516" spans="2:27" ht="16.5" thickTop="1" thickBot="1" x14ac:dyDescent="0.3">
      <c r="B516" t="s">
        <v>195</v>
      </c>
      <c r="C516" s="22" t="str">
        <f>'Costing inputs'!$C$242</f>
        <v>Integration of FP with other health services (SDA11)</v>
      </c>
      <c r="D516" s="22" t="str">
        <f>'Costing inputs'!$U$242</f>
        <v>Central level</v>
      </c>
      <c r="E516" s="22" t="str">
        <f>'Regional splits'!$D$14</f>
        <v>Copperbelt</v>
      </c>
      <c r="F516">
        <v>0</v>
      </c>
      <c r="G516">
        <v>0</v>
      </c>
      <c r="H516">
        <v>0</v>
      </c>
      <c r="I516">
        <v>0</v>
      </c>
      <c r="J516">
        <v>0</v>
      </c>
      <c r="K516">
        <v>0</v>
      </c>
      <c r="L516">
        <v>0</v>
      </c>
      <c r="M516">
        <v>0</v>
      </c>
      <c r="N516">
        <v>0</v>
      </c>
      <c r="O516">
        <v>0</v>
      </c>
      <c r="P516" s="5">
        <f t="shared" ref="P516:P579" si="90">SUMIF(F516:O516,"&lt;&gt;#N/A")</f>
        <v>0</v>
      </c>
      <c r="Q516">
        <f t="shared" ref="Q516:Q579" si="91">IF(ISNA(F516),0,F516)</f>
        <v>0</v>
      </c>
      <c r="R516">
        <f t="shared" ref="R516:R579" si="92">IF(ISNA(G516),0,G516)</f>
        <v>0</v>
      </c>
      <c r="S516">
        <f t="shared" ref="S516:S579" si="93">IF(ISNA(H516),0,H516)</f>
        <v>0</v>
      </c>
      <c r="T516">
        <f t="shared" ref="T516:T579" si="94">IF(ISNA(I516),0,I516)</f>
        <v>0</v>
      </c>
      <c r="U516">
        <f t="shared" ref="U516:U579" si="95">IF(ISNA(J516),0,J516)</f>
        <v>0</v>
      </c>
      <c r="V516">
        <f t="shared" ref="V516:V579" si="96">IF(ISNA(K516),0,K516)</f>
        <v>0</v>
      </c>
      <c r="W516">
        <f t="shared" ref="W516:W579" si="97">IF(ISNA(L516),0,L516)</f>
        <v>0</v>
      </c>
      <c r="X516">
        <f t="shared" ref="X516:X579" si="98">IF(ISNA(M516),0,M516)</f>
        <v>0</v>
      </c>
      <c r="Y516">
        <f t="shared" ref="Y516:Y579" si="99">IF(ISNA(N516),0,N516)</f>
        <v>0</v>
      </c>
      <c r="Z516">
        <f t="shared" ref="Z516:Z579" si="100">IF(ISNA(O516),0,O516)</f>
        <v>0</v>
      </c>
      <c r="AA516" t="str">
        <f>INDEX('Priority activities'!$D$5:$D$86,MATCH('Database for analysis'!C516,'Priority activities'!$C$5:$C$86,0))</f>
        <v>n/a</v>
      </c>
    </row>
    <row r="517" spans="2:27" ht="16.5" thickTop="1" thickBot="1" x14ac:dyDescent="0.3">
      <c r="B517" t="s">
        <v>195</v>
      </c>
      <c r="C517" s="22" t="str">
        <f>'Costing inputs'!$C$242</f>
        <v>Integration of FP with other health services (SDA11)</v>
      </c>
      <c r="D517" s="22" t="str">
        <f>'Costing inputs'!$U$242</f>
        <v>Central level</v>
      </c>
      <c r="E517" s="22" t="str">
        <f>'Regional splits'!$E$14</f>
        <v>Eastern</v>
      </c>
      <c r="F517">
        <v>0</v>
      </c>
      <c r="G517">
        <v>0</v>
      </c>
      <c r="H517">
        <v>0</v>
      </c>
      <c r="I517">
        <v>0</v>
      </c>
      <c r="J517">
        <v>0</v>
      </c>
      <c r="K517">
        <v>0</v>
      </c>
      <c r="L517">
        <v>0</v>
      </c>
      <c r="M517">
        <v>0</v>
      </c>
      <c r="N517">
        <v>0</v>
      </c>
      <c r="O517">
        <v>0</v>
      </c>
      <c r="P517" s="5">
        <f t="shared" si="90"/>
        <v>0</v>
      </c>
      <c r="Q517">
        <f t="shared" si="91"/>
        <v>0</v>
      </c>
      <c r="R517">
        <f t="shared" si="92"/>
        <v>0</v>
      </c>
      <c r="S517">
        <f t="shared" si="93"/>
        <v>0</v>
      </c>
      <c r="T517">
        <f t="shared" si="94"/>
        <v>0</v>
      </c>
      <c r="U517">
        <f t="shared" si="95"/>
        <v>0</v>
      </c>
      <c r="V517">
        <f t="shared" si="96"/>
        <v>0</v>
      </c>
      <c r="W517">
        <f t="shared" si="97"/>
        <v>0</v>
      </c>
      <c r="X517">
        <f t="shared" si="98"/>
        <v>0</v>
      </c>
      <c r="Y517">
        <f t="shared" si="99"/>
        <v>0</v>
      </c>
      <c r="Z517">
        <f t="shared" si="100"/>
        <v>0</v>
      </c>
      <c r="AA517" t="str">
        <f>INDEX('Priority activities'!$D$5:$D$86,MATCH('Database for analysis'!C517,'Priority activities'!$C$5:$C$86,0))</f>
        <v>n/a</v>
      </c>
    </row>
    <row r="518" spans="2:27" ht="16.5" thickTop="1" thickBot="1" x14ac:dyDescent="0.3">
      <c r="B518" t="s">
        <v>195</v>
      </c>
      <c r="C518" s="22" t="str">
        <f>'Costing inputs'!$C$242</f>
        <v>Integration of FP with other health services (SDA11)</v>
      </c>
      <c r="D518" s="22" t="str">
        <f>'Costing inputs'!$U$242</f>
        <v>Central level</v>
      </c>
      <c r="E518" s="22" t="str">
        <f>'Regional splits'!$F$14</f>
        <v>Luapula</v>
      </c>
      <c r="F518">
        <v>0</v>
      </c>
      <c r="G518">
        <v>0</v>
      </c>
      <c r="H518">
        <v>0</v>
      </c>
      <c r="I518">
        <v>0</v>
      </c>
      <c r="J518">
        <v>0</v>
      </c>
      <c r="K518">
        <v>0</v>
      </c>
      <c r="L518">
        <v>0</v>
      </c>
      <c r="M518">
        <v>0</v>
      </c>
      <c r="N518">
        <v>0</v>
      </c>
      <c r="O518">
        <v>0</v>
      </c>
      <c r="P518" s="5">
        <f t="shared" si="90"/>
        <v>0</v>
      </c>
      <c r="Q518">
        <f t="shared" si="91"/>
        <v>0</v>
      </c>
      <c r="R518">
        <f t="shared" si="92"/>
        <v>0</v>
      </c>
      <c r="S518">
        <f t="shared" si="93"/>
        <v>0</v>
      </c>
      <c r="T518">
        <f t="shared" si="94"/>
        <v>0</v>
      </c>
      <c r="U518">
        <f t="shared" si="95"/>
        <v>0</v>
      </c>
      <c r="V518">
        <f t="shared" si="96"/>
        <v>0</v>
      </c>
      <c r="W518">
        <f t="shared" si="97"/>
        <v>0</v>
      </c>
      <c r="X518">
        <f t="shared" si="98"/>
        <v>0</v>
      </c>
      <c r="Y518">
        <f t="shared" si="99"/>
        <v>0</v>
      </c>
      <c r="Z518">
        <f t="shared" si="100"/>
        <v>0</v>
      </c>
      <c r="AA518" t="str">
        <f>INDEX('Priority activities'!$D$5:$D$86,MATCH('Database for analysis'!C518,'Priority activities'!$C$5:$C$86,0))</f>
        <v>n/a</v>
      </c>
    </row>
    <row r="519" spans="2:27" ht="16.5" thickTop="1" thickBot="1" x14ac:dyDescent="0.3">
      <c r="B519" t="s">
        <v>195</v>
      </c>
      <c r="C519" s="22" t="str">
        <f>'Costing inputs'!$C$242</f>
        <v>Integration of FP with other health services (SDA11)</v>
      </c>
      <c r="D519" s="22" t="str">
        <f>'Costing inputs'!$U$242</f>
        <v>Central level</v>
      </c>
      <c r="E519" s="22" t="str">
        <f>'Regional splits'!$G$14</f>
        <v>Lusaka</v>
      </c>
      <c r="F519">
        <v>0</v>
      </c>
      <c r="G519">
        <v>0</v>
      </c>
      <c r="H519">
        <v>0</v>
      </c>
      <c r="I519">
        <v>0</v>
      </c>
      <c r="J519">
        <v>0</v>
      </c>
      <c r="K519">
        <v>0</v>
      </c>
      <c r="L519">
        <v>0</v>
      </c>
      <c r="M519">
        <v>0</v>
      </c>
      <c r="N519">
        <v>0</v>
      </c>
      <c r="O519">
        <v>0</v>
      </c>
      <c r="P519" s="5">
        <f t="shared" si="90"/>
        <v>0</v>
      </c>
      <c r="Q519">
        <f t="shared" si="91"/>
        <v>0</v>
      </c>
      <c r="R519">
        <f t="shared" si="92"/>
        <v>0</v>
      </c>
      <c r="S519">
        <f t="shared" si="93"/>
        <v>0</v>
      </c>
      <c r="T519">
        <f t="shared" si="94"/>
        <v>0</v>
      </c>
      <c r="U519">
        <f t="shared" si="95"/>
        <v>0</v>
      </c>
      <c r="V519">
        <f t="shared" si="96"/>
        <v>0</v>
      </c>
      <c r="W519">
        <f t="shared" si="97"/>
        <v>0</v>
      </c>
      <c r="X519">
        <f t="shared" si="98"/>
        <v>0</v>
      </c>
      <c r="Y519">
        <f t="shared" si="99"/>
        <v>0</v>
      </c>
      <c r="Z519">
        <f t="shared" si="100"/>
        <v>0</v>
      </c>
      <c r="AA519" t="str">
        <f>INDEX('Priority activities'!$D$5:$D$86,MATCH('Database for analysis'!C519,'Priority activities'!$C$5:$C$86,0))</f>
        <v>n/a</v>
      </c>
    </row>
    <row r="520" spans="2:27" ht="16.5" thickTop="1" thickBot="1" x14ac:dyDescent="0.3">
      <c r="B520" t="s">
        <v>195</v>
      </c>
      <c r="C520" s="22" t="str">
        <f>'Costing inputs'!$C$242</f>
        <v>Integration of FP with other health services (SDA11)</v>
      </c>
      <c r="D520" s="22" t="str">
        <f>'Costing inputs'!$U$242</f>
        <v>Central level</v>
      </c>
      <c r="E520" s="22" t="str">
        <f>'Regional splits'!$H$14</f>
        <v>Muchinga</v>
      </c>
      <c r="F520">
        <v>0</v>
      </c>
      <c r="G520">
        <v>0</v>
      </c>
      <c r="H520">
        <v>0</v>
      </c>
      <c r="I520">
        <v>0</v>
      </c>
      <c r="J520">
        <v>0</v>
      </c>
      <c r="K520">
        <v>0</v>
      </c>
      <c r="L520">
        <v>0</v>
      </c>
      <c r="M520">
        <v>0</v>
      </c>
      <c r="N520">
        <v>0</v>
      </c>
      <c r="O520">
        <v>0</v>
      </c>
      <c r="P520" s="5">
        <f t="shared" si="90"/>
        <v>0</v>
      </c>
      <c r="Q520">
        <f t="shared" si="91"/>
        <v>0</v>
      </c>
      <c r="R520">
        <f t="shared" si="92"/>
        <v>0</v>
      </c>
      <c r="S520">
        <f t="shared" si="93"/>
        <v>0</v>
      </c>
      <c r="T520">
        <f t="shared" si="94"/>
        <v>0</v>
      </c>
      <c r="U520">
        <f t="shared" si="95"/>
        <v>0</v>
      </c>
      <c r="V520">
        <f t="shared" si="96"/>
        <v>0</v>
      </c>
      <c r="W520">
        <f t="shared" si="97"/>
        <v>0</v>
      </c>
      <c r="X520">
        <f t="shared" si="98"/>
        <v>0</v>
      </c>
      <c r="Y520">
        <f t="shared" si="99"/>
        <v>0</v>
      </c>
      <c r="Z520">
        <f t="shared" si="100"/>
        <v>0</v>
      </c>
      <c r="AA520" t="str">
        <f>INDEX('Priority activities'!$D$5:$D$86,MATCH('Database for analysis'!C520,'Priority activities'!$C$5:$C$86,0))</f>
        <v>n/a</v>
      </c>
    </row>
    <row r="521" spans="2:27" ht="16.5" thickTop="1" thickBot="1" x14ac:dyDescent="0.3">
      <c r="B521" t="s">
        <v>195</v>
      </c>
      <c r="C521" s="22" t="str">
        <f>'Costing inputs'!$C$242</f>
        <v>Integration of FP with other health services (SDA11)</v>
      </c>
      <c r="D521" s="22" t="str">
        <f>'Costing inputs'!$U$242</f>
        <v>Central level</v>
      </c>
      <c r="E521" s="22" t="str">
        <f>'Regional splits'!$I$14</f>
        <v>Northern</v>
      </c>
      <c r="F521">
        <v>0</v>
      </c>
      <c r="G521">
        <v>0</v>
      </c>
      <c r="H521">
        <v>0</v>
      </c>
      <c r="I521">
        <v>0</v>
      </c>
      <c r="J521">
        <v>0</v>
      </c>
      <c r="K521">
        <v>0</v>
      </c>
      <c r="L521">
        <v>0</v>
      </c>
      <c r="M521">
        <v>0</v>
      </c>
      <c r="N521">
        <v>0</v>
      </c>
      <c r="O521">
        <v>0</v>
      </c>
      <c r="P521" s="5">
        <f t="shared" si="90"/>
        <v>0</v>
      </c>
      <c r="Q521">
        <f t="shared" si="91"/>
        <v>0</v>
      </c>
      <c r="R521">
        <f t="shared" si="92"/>
        <v>0</v>
      </c>
      <c r="S521">
        <f t="shared" si="93"/>
        <v>0</v>
      </c>
      <c r="T521">
        <f t="shared" si="94"/>
        <v>0</v>
      </c>
      <c r="U521">
        <f t="shared" si="95"/>
        <v>0</v>
      </c>
      <c r="V521">
        <f t="shared" si="96"/>
        <v>0</v>
      </c>
      <c r="W521">
        <f t="shared" si="97"/>
        <v>0</v>
      </c>
      <c r="X521">
        <f t="shared" si="98"/>
        <v>0</v>
      </c>
      <c r="Y521">
        <f t="shared" si="99"/>
        <v>0</v>
      </c>
      <c r="Z521">
        <f t="shared" si="100"/>
        <v>0</v>
      </c>
      <c r="AA521" t="str">
        <f>INDEX('Priority activities'!$D$5:$D$86,MATCH('Database for analysis'!C521,'Priority activities'!$C$5:$C$86,0))</f>
        <v>n/a</v>
      </c>
    </row>
    <row r="522" spans="2:27" ht="16.5" thickTop="1" thickBot="1" x14ac:dyDescent="0.3">
      <c r="B522" t="s">
        <v>195</v>
      </c>
      <c r="C522" s="22" t="str">
        <f>'Costing inputs'!$C$242</f>
        <v>Integration of FP with other health services (SDA11)</v>
      </c>
      <c r="D522" s="22" t="str">
        <f>'Costing inputs'!$U$242</f>
        <v>Central level</v>
      </c>
      <c r="E522" s="22" t="str">
        <f>'Regional splits'!$J$14</f>
        <v>North Western</v>
      </c>
      <c r="F522">
        <v>0</v>
      </c>
      <c r="G522">
        <v>0</v>
      </c>
      <c r="H522">
        <v>0</v>
      </c>
      <c r="I522">
        <v>0</v>
      </c>
      <c r="J522">
        <v>0</v>
      </c>
      <c r="K522">
        <v>0</v>
      </c>
      <c r="L522">
        <v>0</v>
      </c>
      <c r="M522">
        <v>0</v>
      </c>
      <c r="N522">
        <v>0</v>
      </c>
      <c r="O522">
        <v>0</v>
      </c>
      <c r="P522" s="5">
        <f t="shared" si="90"/>
        <v>0</v>
      </c>
      <c r="Q522">
        <f t="shared" si="91"/>
        <v>0</v>
      </c>
      <c r="R522">
        <f t="shared" si="92"/>
        <v>0</v>
      </c>
      <c r="S522">
        <f t="shared" si="93"/>
        <v>0</v>
      </c>
      <c r="T522">
        <f t="shared" si="94"/>
        <v>0</v>
      </c>
      <c r="U522">
        <f t="shared" si="95"/>
        <v>0</v>
      </c>
      <c r="V522">
        <f t="shared" si="96"/>
        <v>0</v>
      </c>
      <c r="W522">
        <f t="shared" si="97"/>
        <v>0</v>
      </c>
      <c r="X522">
        <f t="shared" si="98"/>
        <v>0</v>
      </c>
      <c r="Y522">
        <f t="shared" si="99"/>
        <v>0</v>
      </c>
      <c r="Z522">
        <f t="shared" si="100"/>
        <v>0</v>
      </c>
      <c r="AA522" t="str">
        <f>INDEX('Priority activities'!$D$5:$D$86,MATCH('Database for analysis'!C522,'Priority activities'!$C$5:$C$86,0))</f>
        <v>n/a</v>
      </c>
    </row>
    <row r="523" spans="2:27" ht="16.5" thickTop="1" thickBot="1" x14ac:dyDescent="0.3">
      <c r="B523" t="s">
        <v>195</v>
      </c>
      <c r="C523" s="22" t="str">
        <f>'Costing inputs'!$C$242</f>
        <v>Integration of FP with other health services (SDA11)</v>
      </c>
      <c r="D523" s="22" t="str">
        <f>'Costing inputs'!$U$242</f>
        <v>Central level</v>
      </c>
      <c r="E523" s="22" t="str">
        <f>'Regional splits'!$K$14</f>
        <v>Southern</v>
      </c>
      <c r="F523">
        <v>0</v>
      </c>
      <c r="G523">
        <v>0</v>
      </c>
      <c r="H523">
        <v>0</v>
      </c>
      <c r="I523">
        <v>0</v>
      </c>
      <c r="J523">
        <v>0</v>
      </c>
      <c r="K523">
        <v>0</v>
      </c>
      <c r="L523">
        <v>0</v>
      </c>
      <c r="M523">
        <v>0</v>
      </c>
      <c r="N523">
        <v>0</v>
      </c>
      <c r="O523">
        <v>0</v>
      </c>
      <c r="P523" s="5">
        <f t="shared" si="90"/>
        <v>0</v>
      </c>
      <c r="Q523">
        <f t="shared" si="91"/>
        <v>0</v>
      </c>
      <c r="R523">
        <f t="shared" si="92"/>
        <v>0</v>
      </c>
      <c r="S523">
        <f t="shared" si="93"/>
        <v>0</v>
      </c>
      <c r="T523">
        <f t="shared" si="94"/>
        <v>0</v>
      </c>
      <c r="U523">
        <f t="shared" si="95"/>
        <v>0</v>
      </c>
      <c r="V523">
        <f t="shared" si="96"/>
        <v>0</v>
      </c>
      <c r="W523">
        <f t="shared" si="97"/>
        <v>0</v>
      </c>
      <c r="X523">
        <f t="shared" si="98"/>
        <v>0</v>
      </c>
      <c r="Y523">
        <f t="shared" si="99"/>
        <v>0</v>
      </c>
      <c r="Z523">
        <f t="shared" si="100"/>
        <v>0</v>
      </c>
      <c r="AA523" t="str">
        <f>INDEX('Priority activities'!$D$5:$D$86,MATCH('Database for analysis'!C523,'Priority activities'!$C$5:$C$86,0))</f>
        <v>n/a</v>
      </c>
    </row>
    <row r="524" spans="2:27" ht="16.5" thickTop="1" thickBot="1" x14ac:dyDescent="0.3">
      <c r="B524" t="s">
        <v>195</v>
      </c>
      <c r="C524" s="22" t="str">
        <f>'Costing inputs'!$C$242</f>
        <v>Integration of FP with other health services (SDA11)</v>
      </c>
      <c r="D524" s="22" t="str">
        <f>'Costing inputs'!$U$242</f>
        <v>Central level</v>
      </c>
      <c r="E524" s="22" t="str">
        <f>'Regional splits'!$L$14</f>
        <v>Western</v>
      </c>
      <c r="F524">
        <v>0</v>
      </c>
      <c r="G524">
        <v>0</v>
      </c>
      <c r="H524">
        <v>0</v>
      </c>
      <c r="I524">
        <v>0</v>
      </c>
      <c r="J524">
        <v>0</v>
      </c>
      <c r="K524">
        <v>0</v>
      </c>
      <c r="L524">
        <v>0</v>
      </c>
      <c r="M524">
        <v>0</v>
      </c>
      <c r="N524">
        <v>0</v>
      </c>
      <c r="O524">
        <v>0</v>
      </c>
      <c r="P524" s="5">
        <f t="shared" si="90"/>
        <v>0</v>
      </c>
      <c r="Q524">
        <f t="shared" si="91"/>
        <v>0</v>
      </c>
      <c r="R524">
        <f t="shared" si="92"/>
        <v>0</v>
      </c>
      <c r="S524">
        <f t="shared" si="93"/>
        <v>0</v>
      </c>
      <c r="T524">
        <f t="shared" si="94"/>
        <v>0</v>
      </c>
      <c r="U524">
        <f t="shared" si="95"/>
        <v>0</v>
      </c>
      <c r="V524">
        <f t="shared" si="96"/>
        <v>0</v>
      </c>
      <c r="W524">
        <f t="shared" si="97"/>
        <v>0</v>
      </c>
      <c r="X524">
        <f t="shared" si="98"/>
        <v>0</v>
      </c>
      <c r="Y524">
        <f t="shared" si="99"/>
        <v>0</v>
      </c>
      <c r="Z524">
        <f t="shared" si="100"/>
        <v>0</v>
      </c>
      <c r="AA524" t="str">
        <f>INDEX('Priority activities'!$D$5:$D$86,MATCH('Database for analysis'!C524,'Priority activities'!$C$5:$C$86,0))</f>
        <v>n/a</v>
      </c>
    </row>
    <row r="525" spans="2:27" ht="16.5" thickTop="1" thickBot="1" x14ac:dyDescent="0.3">
      <c r="B525" t="s">
        <v>195</v>
      </c>
      <c r="C525" s="22" t="str">
        <f>'Costing inputs'!$C$242</f>
        <v>Integration of FP with other health services (SDA11)</v>
      </c>
      <c r="D525" s="22" t="str">
        <f>'Costing inputs'!$U$242</f>
        <v>Central level</v>
      </c>
      <c r="E525" s="22">
        <f>'Regional splits'!$M$14</f>
        <v>0</v>
      </c>
      <c r="F525">
        <v>0</v>
      </c>
      <c r="G525">
        <v>0</v>
      </c>
      <c r="H525">
        <v>0</v>
      </c>
      <c r="I525">
        <v>0</v>
      </c>
      <c r="J525">
        <v>0</v>
      </c>
      <c r="K525">
        <v>0</v>
      </c>
      <c r="L525">
        <v>0</v>
      </c>
      <c r="M525">
        <v>0</v>
      </c>
      <c r="N525">
        <v>0</v>
      </c>
      <c r="O525">
        <v>0</v>
      </c>
      <c r="P525" s="5">
        <f t="shared" si="90"/>
        <v>0</v>
      </c>
      <c r="Q525">
        <f t="shared" si="91"/>
        <v>0</v>
      </c>
      <c r="R525">
        <f t="shared" si="92"/>
        <v>0</v>
      </c>
      <c r="S525">
        <f t="shared" si="93"/>
        <v>0</v>
      </c>
      <c r="T525">
        <f t="shared" si="94"/>
        <v>0</v>
      </c>
      <c r="U525">
        <f t="shared" si="95"/>
        <v>0</v>
      </c>
      <c r="V525">
        <f t="shared" si="96"/>
        <v>0</v>
      </c>
      <c r="W525">
        <f t="shared" si="97"/>
        <v>0</v>
      </c>
      <c r="X525">
        <f t="shared" si="98"/>
        <v>0</v>
      </c>
      <c r="Y525">
        <f t="shared" si="99"/>
        <v>0</v>
      </c>
      <c r="Z525">
        <f t="shared" si="100"/>
        <v>0</v>
      </c>
      <c r="AA525" t="str">
        <f>INDEX('Priority activities'!$D$5:$D$86,MATCH('Database for analysis'!C525,'Priority activities'!$C$5:$C$86,0))</f>
        <v>n/a</v>
      </c>
    </row>
    <row r="526" spans="2:27" ht="16.5" thickTop="1" thickBot="1" x14ac:dyDescent="0.3">
      <c r="B526" t="s">
        <v>195</v>
      </c>
      <c r="C526" s="22" t="str">
        <f>'Costing inputs'!$C$242</f>
        <v>Integration of FP with other health services (SDA11)</v>
      </c>
      <c r="D526" s="22" t="str">
        <f>'Costing inputs'!$U$242</f>
        <v>Central level</v>
      </c>
      <c r="E526" s="22">
        <f>'Regional splits'!$N$14</f>
        <v>0</v>
      </c>
      <c r="F526">
        <v>0</v>
      </c>
      <c r="G526">
        <v>0</v>
      </c>
      <c r="H526">
        <v>0</v>
      </c>
      <c r="I526">
        <v>0</v>
      </c>
      <c r="J526">
        <v>0</v>
      </c>
      <c r="K526">
        <v>0</v>
      </c>
      <c r="L526">
        <v>0</v>
      </c>
      <c r="M526">
        <v>0</v>
      </c>
      <c r="N526">
        <v>0</v>
      </c>
      <c r="O526">
        <v>0</v>
      </c>
      <c r="P526" s="5">
        <f t="shared" si="90"/>
        <v>0</v>
      </c>
      <c r="Q526">
        <f t="shared" si="91"/>
        <v>0</v>
      </c>
      <c r="R526">
        <f t="shared" si="92"/>
        <v>0</v>
      </c>
      <c r="S526">
        <f t="shared" si="93"/>
        <v>0</v>
      </c>
      <c r="T526">
        <f t="shared" si="94"/>
        <v>0</v>
      </c>
      <c r="U526">
        <f t="shared" si="95"/>
        <v>0</v>
      </c>
      <c r="V526">
        <f t="shared" si="96"/>
        <v>0</v>
      </c>
      <c r="W526">
        <f t="shared" si="97"/>
        <v>0</v>
      </c>
      <c r="X526">
        <f t="shared" si="98"/>
        <v>0</v>
      </c>
      <c r="Y526">
        <f t="shared" si="99"/>
        <v>0</v>
      </c>
      <c r="Z526">
        <f t="shared" si="100"/>
        <v>0</v>
      </c>
      <c r="AA526" t="str">
        <f>INDEX('Priority activities'!$D$5:$D$86,MATCH('Database for analysis'!C526,'Priority activities'!$C$5:$C$86,0))</f>
        <v>n/a</v>
      </c>
    </row>
    <row r="527" spans="2:27" ht="16.5" thickTop="1" thickBot="1" x14ac:dyDescent="0.3">
      <c r="B527" t="s">
        <v>195</v>
      </c>
      <c r="C527" s="22" t="str">
        <f>'Costing inputs'!$C$242</f>
        <v>Integration of FP with other health services (SDA11)</v>
      </c>
      <c r="D527" s="22" t="str">
        <f>'Costing inputs'!$U$242</f>
        <v>Central level</v>
      </c>
      <c r="E527" s="22">
        <f>'Regional splits'!$O$14</f>
        <v>0</v>
      </c>
      <c r="F527">
        <v>0</v>
      </c>
      <c r="G527">
        <v>0</v>
      </c>
      <c r="H527">
        <v>0</v>
      </c>
      <c r="I527">
        <v>0</v>
      </c>
      <c r="J527">
        <v>0</v>
      </c>
      <c r="K527">
        <v>0</v>
      </c>
      <c r="L527">
        <v>0</v>
      </c>
      <c r="M527">
        <v>0</v>
      </c>
      <c r="N527">
        <v>0</v>
      </c>
      <c r="O527">
        <v>0</v>
      </c>
      <c r="P527" s="5">
        <f t="shared" si="90"/>
        <v>0</v>
      </c>
      <c r="Q527">
        <f t="shared" si="91"/>
        <v>0</v>
      </c>
      <c r="R527">
        <f t="shared" si="92"/>
        <v>0</v>
      </c>
      <c r="S527">
        <f t="shared" si="93"/>
        <v>0</v>
      </c>
      <c r="T527">
        <f t="shared" si="94"/>
        <v>0</v>
      </c>
      <c r="U527">
        <f t="shared" si="95"/>
        <v>0</v>
      </c>
      <c r="V527">
        <f t="shared" si="96"/>
        <v>0</v>
      </c>
      <c r="W527">
        <f t="shared" si="97"/>
        <v>0</v>
      </c>
      <c r="X527">
        <f t="shared" si="98"/>
        <v>0</v>
      </c>
      <c r="Y527">
        <f t="shared" si="99"/>
        <v>0</v>
      </c>
      <c r="Z527">
        <f t="shared" si="100"/>
        <v>0</v>
      </c>
      <c r="AA527" t="str">
        <f>INDEX('Priority activities'!$D$5:$D$86,MATCH('Database for analysis'!C527,'Priority activities'!$C$5:$C$86,0))</f>
        <v>n/a</v>
      </c>
    </row>
    <row r="528" spans="2:27" ht="16.5" thickTop="1" thickBot="1" x14ac:dyDescent="0.3">
      <c r="B528" t="s">
        <v>195</v>
      </c>
      <c r="C528" s="22" t="str">
        <f>'Costing inputs'!$C$242</f>
        <v>Integration of FP with other health services (SDA11)</v>
      </c>
      <c r="D528" s="22" t="str">
        <f>'Costing inputs'!$U$242</f>
        <v>Central level</v>
      </c>
      <c r="E528" s="22">
        <f>'Regional splits'!$P$14</f>
        <v>0</v>
      </c>
      <c r="F528">
        <v>0</v>
      </c>
      <c r="G528">
        <v>0</v>
      </c>
      <c r="H528">
        <v>0</v>
      </c>
      <c r="I528">
        <v>0</v>
      </c>
      <c r="J528">
        <v>0</v>
      </c>
      <c r="K528">
        <v>0</v>
      </c>
      <c r="L528">
        <v>0</v>
      </c>
      <c r="M528">
        <v>0</v>
      </c>
      <c r="N528">
        <v>0</v>
      </c>
      <c r="O528">
        <v>0</v>
      </c>
      <c r="P528" s="5">
        <f t="shared" si="90"/>
        <v>0</v>
      </c>
      <c r="Q528">
        <f t="shared" si="91"/>
        <v>0</v>
      </c>
      <c r="R528">
        <f t="shared" si="92"/>
        <v>0</v>
      </c>
      <c r="S528">
        <f t="shared" si="93"/>
        <v>0</v>
      </c>
      <c r="T528">
        <f t="shared" si="94"/>
        <v>0</v>
      </c>
      <c r="U528">
        <f t="shared" si="95"/>
        <v>0</v>
      </c>
      <c r="V528">
        <f t="shared" si="96"/>
        <v>0</v>
      </c>
      <c r="W528">
        <f t="shared" si="97"/>
        <v>0</v>
      </c>
      <c r="X528">
        <f t="shared" si="98"/>
        <v>0</v>
      </c>
      <c r="Y528">
        <f t="shared" si="99"/>
        <v>0</v>
      </c>
      <c r="Z528">
        <f t="shared" si="100"/>
        <v>0</v>
      </c>
      <c r="AA528" t="str">
        <f>INDEX('Priority activities'!$D$5:$D$86,MATCH('Database for analysis'!C528,'Priority activities'!$C$5:$C$86,0))</f>
        <v>n/a</v>
      </c>
    </row>
    <row r="529" spans="2:27" ht="16.5" thickTop="1" thickBot="1" x14ac:dyDescent="0.3">
      <c r="B529" t="s">
        <v>195</v>
      </c>
      <c r="C529" s="22" t="str">
        <f>'Costing inputs'!$C$242</f>
        <v>Integration of FP with other health services (SDA11)</v>
      </c>
      <c r="D529" s="22" t="str">
        <f>'Costing inputs'!$U$242</f>
        <v>Central level</v>
      </c>
      <c r="E529" s="22">
        <f>'Regional splits'!$Q$14</f>
        <v>0</v>
      </c>
      <c r="F529">
        <v>0</v>
      </c>
      <c r="G529">
        <v>0</v>
      </c>
      <c r="H529">
        <v>0</v>
      </c>
      <c r="I529">
        <v>0</v>
      </c>
      <c r="J529">
        <v>0</v>
      </c>
      <c r="K529">
        <v>0</v>
      </c>
      <c r="L529">
        <v>0</v>
      </c>
      <c r="M529">
        <v>0</v>
      </c>
      <c r="N529">
        <v>0</v>
      </c>
      <c r="O529">
        <v>0</v>
      </c>
      <c r="P529" s="5">
        <f t="shared" si="90"/>
        <v>0</v>
      </c>
      <c r="Q529">
        <f t="shared" si="91"/>
        <v>0</v>
      </c>
      <c r="R529">
        <f t="shared" si="92"/>
        <v>0</v>
      </c>
      <c r="S529">
        <f t="shared" si="93"/>
        <v>0</v>
      </c>
      <c r="T529">
        <f t="shared" si="94"/>
        <v>0</v>
      </c>
      <c r="U529">
        <f t="shared" si="95"/>
        <v>0</v>
      </c>
      <c r="V529">
        <f t="shared" si="96"/>
        <v>0</v>
      </c>
      <c r="W529">
        <f t="shared" si="97"/>
        <v>0</v>
      </c>
      <c r="X529">
        <f t="shared" si="98"/>
        <v>0</v>
      </c>
      <c r="Y529">
        <f t="shared" si="99"/>
        <v>0</v>
      </c>
      <c r="Z529">
        <f t="shared" si="100"/>
        <v>0</v>
      </c>
      <c r="AA529" t="str">
        <f>INDEX('Priority activities'!$D$5:$D$86,MATCH('Database for analysis'!C529,'Priority activities'!$C$5:$C$86,0))</f>
        <v>n/a</v>
      </c>
    </row>
    <row r="530" spans="2:27" ht="16.5" thickTop="1" thickBot="1" x14ac:dyDescent="0.3">
      <c r="B530" t="s">
        <v>195</v>
      </c>
      <c r="C530" s="22" t="str">
        <f>'Costing inputs'!$C$242</f>
        <v>Integration of FP with other health services (SDA11)</v>
      </c>
      <c r="D530" s="22" t="str">
        <f>'Costing inputs'!$U$242</f>
        <v>Central level</v>
      </c>
      <c r="E530" s="22" t="str">
        <f>'Regional splits'!$R$14</f>
        <v>National-level</v>
      </c>
      <c r="F530">
        <v>15000</v>
      </c>
      <c r="G530">
        <v>0</v>
      </c>
      <c r="H530">
        <v>0</v>
      </c>
      <c r="I530">
        <v>0</v>
      </c>
      <c r="J530">
        <v>0</v>
      </c>
      <c r="K530">
        <v>0</v>
      </c>
      <c r="L530">
        <v>0</v>
      </c>
      <c r="M530">
        <v>0</v>
      </c>
      <c r="N530">
        <v>0</v>
      </c>
      <c r="O530">
        <v>0</v>
      </c>
      <c r="P530" s="5">
        <f t="shared" si="90"/>
        <v>15000</v>
      </c>
      <c r="Q530">
        <f t="shared" si="91"/>
        <v>15000</v>
      </c>
      <c r="R530">
        <f t="shared" si="92"/>
        <v>0</v>
      </c>
      <c r="S530">
        <f t="shared" si="93"/>
        <v>0</v>
      </c>
      <c r="T530">
        <f t="shared" si="94"/>
        <v>0</v>
      </c>
      <c r="U530">
        <f t="shared" si="95"/>
        <v>0</v>
      </c>
      <c r="V530">
        <f t="shared" si="96"/>
        <v>0</v>
      </c>
      <c r="W530">
        <f t="shared" si="97"/>
        <v>0</v>
      </c>
      <c r="X530">
        <f t="shared" si="98"/>
        <v>0</v>
      </c>
      <c r="Y530">
        <f t="shared" si="99"/>
        <v>0</v>
      </c>
      <c r="Z530">
        <f t="shared" si="100"/>
        <v>0</v>
      </c>
      <c r="AA530" t="str">
        <f>INDEX('Priority activities'!$D$5:$D$86,MATCH('Database for analysis'!C530,'Priority activities'!$C$5:$C$86,0))</f>
        <v>n/a</v>
      </c>
    </row>
    <row r="531" spans="2:27" ht="16.5" thickTop="1" thickBot="1" x14ac:dyDescent="0.3">
      <c r="B531" t="s">
        <v>195</v>
      </c>
      <c r="C531" s="22" t="str">
        <f>'Costing inputs'!$C$244</f>
        <v>HCW registration requirements for LARCs (SDA5.2)</v>
      </c>
      <c r="D531" s="22" t="str">
        <f>'Costing inputs'!$U$244</f>
        <v>Central level</v>
      </c>
      <c r="E531" s="22" t="str">
        <f>'Regional splits'!$C$14</f>
        <v>Central</v>
      </c>
      <c r="F531">
        <f t="array" ref="F531:O546">'Costing inputs'!S244*'Costing inputs'!AP244:AY244*TRANSPOSE('Costing inputs'!W244:AL244)</f>
        <v>0</v>
      </c>
      <c r="G531">
        <v>0</v>
      </c>
      <c r="H531">
        <v>0</v>
      </c>
      <c r="I531">
        <v>0</v>
      </c>
      <c r="J531">
        <v>0</v>
      </c>
      <c r="K531">
        <v>0</v>
      </c>
      <c r="L531">
        <v>0</v>
      </c>
      <c r="M531">
        <v>0</v>
      </c>
      <c r="N531">
        <v>0</v>
      </c>
      <c r="O531">
        <v>0</v>
      </c>
      <c r="P531" s="5">
        <f t="shared" si="90"/>
        <v>0</v>
      </c>
      <c r="Q531">
        <f t="shared" si="91"/>
        <v>0</v>
      </c>
      <c r="R531">
        <f t="shared" si="92"/>
        <v>0</v>
      </c>
      <c r="S531">
        <f t="shared" si="93"/>
        <v>0</v>
      </c>
      <c r="T531">
        <f t="shared" si="94"/>
        <v>0</v>
      </c>
      <c r="U531">
        <f t="shared" si="95"/>
        <v>0</v>
      </c>
      <c r="V531">
        <f t="shared" si="96"/>
        <v>0</v>
      </c>
      <c r="W531">
        <f t="shared" si="97"/>
        <v>0</v>
      </c>
      <c r="X531">
        <f t="shared" si="98"/>
        <v>0</v>
      </c>
      <c r="Y531">
        <f t="shared" si="99"/>
        <v>0</v>
      </c>
      <c r="Z531">
        <f t="shared" si="100"/>
        <v>0</v>
      </c>
      <c r="AA531" t="str">
        <f>INDEX('Priority activities'!$D$5:$D$86,MATCH('Database for analysis'!C531,'Priority activities'!$C$5:$C$86,0))</f>
        <v>Staff and training</v>
      </c>
    </row>
    <row r="532" spans="2:27" ht="16.5" thickTop="1" thickBot="1" x14ac:dyDescent="0.3">
      <c r="B532" t="s">
        <v>195</v>
      </c>
      <c r="C532" s="22" t="str">
        <f>'Costing inputs'!$C$244</f>
        <v>HCW registration requirements for LARCs (SDA5.2)</v>
      </c>
      <c r="D532" s="22" t="str">
        <f>'Costing inputs'!$U$244</f>
        <v>Central level</v>
      </c>
      <c r="E532" s="22" t="str">
        <f>'Regional splits'!$D$14</f>
        <v>Copperbelt</v>
      </c>
      <c r="F532">
        <v>0</v>
      </c>
      <c r="G532">
        <v>0</v>
      </c>
      <c r="H532">
        <v>0</v>
      </c>
      <c r="I532">
        <v>0</v>
      </c>
      <c r="J532">
        <v>0</v>
      </c>
      <c r="K532">
        <v>0</v>
      </c>
      <c r="L532">
        <v>0</v>
      </c>
      <c r="M532">
        <v>0</v>
      </c>
      <c r="N532">
        <v>0</v>
      </c>
      <c r="O532">
        <v>0</v>
      </c>
      <c r="P532" s="5">
        <f t="shared" si="90"/>
        <v>0</v>
      </c>
      <c r="Q532">
        <f t="shared" si="91"/>
        <v>0</v>
      </c>
      <c r="R532">
        <f t="shared" si="92"/>
        <v>0</v>
      </c>
      <c r="S532">
        <f t="shared" si="93"/>
        <v>0</v>
      </c>
      <c r="T532">
        <f t="shared" si="94"/>
        <v>0</v>
      </c>
      <c r="U532">
        <f t="shared" si="95"/>
        <v>0</v>
      </c>
      <c r="V532">
        <f t="shared" si="96"/>
        <v>0</v>
      </c>
      <c r="W532">
        <f t="shared" si="97"/>
        <v>0</v>
      </c>
      <c r="X532">
        <f t="shared" si="98"/>
        <v>0</v>
      </c>
      <c r="Y532">
        <f t="shared" si="99"/>
        <v>0</v>
      </c>
      <c r="Z532">
        <f t="shared" si="100"/>
        <v>0</v>
      </c>
      <c r="AA532" t="str">
        <f>INDEX('Priority activities'!$D$5:$D$86,MATCH('Database for analysis'!C532,'Priority activities'!$C$5:$C$86,0))</f>
        <v>Staff and training</v>
      </c>
    </row>
    <row r="533" spans="2:27" ht="16.5" thickTop="1" thickBot="1" x14ac:dyDescent="0.3">
      <c r="B533" t="s">
        <v>195</v>
      </c>
      <c r="C533" s="22" t="str">
        <f>'Costing inputs'!$C$244</f>
        <v>HCW registration requirements for LARCs (SDA5.2)</v>
      </c>
      <c r="D533" s="22" t="str">
        <f>'Costing inputs'!$U$244</f>
        <v>Central level</v>
      </c>
      <c r="E533" s="22" t="str">
        <f>'Regional splits'!$E$14</f>
        <v>Eastern</v>
      </c>
      <c r="F533">
        <v>0</v>
      </c>
      <c r="G533">
        <v>0</v>
      </c>
      <c r="H533">
        <v>0</v>
      </c>
      <c r="I533">
        <v>0</v>
      </c>
      <c r="J533">
        <v>0</v>
      </c>
      <c r="K533">
        <v>0</v>
      </c>
      <c r="L533">
        <v>0</v>
      </c>
      <c r="M533">
        <v>0</v>
      </c>
      <c r="N533">
        <v>0</v>
      </c>
      <c r="O533">
        <v>0</v>
      </c>
      <c r="P533" s="5">
        <f t="shared" si="90"/>
        <v>0</v>
      </c>
      <c r="Q533">
        <f t="shared" si="91"/>
        <v>0</v>
      </c>
      <c r="R533">
        <f t="shared" si="92"/>
        <v>0</v>
      </c>
      <c r="S533">
        <f t="shared" si="93"/>
        <v>0</v>
      </c>
      <c r="T533">
        <f t="shared" si="94"/>
        <v>0</v>
      </c>
      <c r="U533">
        <f t="shared" si="95"/>
        <v>0</v>
      </c>
      <c r="V533">
        <f t="shared" si="96"/>
        <v>0</v>
      </c>
      <c r="W533">
        <f t="shared" si="97"/>
        <v>0</v>
      </c>
      <c r="X533">
        <f t="shared" si="98"/>
        <v>0</v>
      </c>
      <c r="Y533">
        <f t="shared" si="99"/>
        <v>0</v>
      </c>
      <c r="Z533">
        <f t="shared" si="100"/>
        <v>0</v>
      </c>
      <c r="AA533" t="str">
        <f>INDEX('Priority activities'!$D$5:$D$86,MATCH('Database for analysis'!C533,'Priority activities'!$C$5:$C$86,0))</f>
        <v>Staff and training</v>
      </c>
    </row>
    <row r="534" spans="2:27" ht="16.5" thickTop="1" thickBot="1" x14ac:dyDescent="0.3">
      <c r="B534" t="s">
        <v>195</v>
      </c>
      <c r="C534" s="22" t="str">
        <f>'Costing inputs'!$C$244</f>
        <v>HCW registration requirements for LARCs (SDA5.2)</v>
      </c>
      <c r="D534" s="22" t="str">
        <f>'Costing inputs'!$U$244</f>
        <v>Central level</v>
      </c>
      <c r="E534" s="22" t="str">
        <f>'Regional splits'!$F$14</f>
        <v>Luapula</v>
      </c>
      <c r="F534">
        <v>0</v>
      </c>
      <c r="G534">
        <v>0</v>
      </c>
      <c r="H534">
        <v>0</v>
      </c>
      <c r="I534">
        <v>0</v>
      </c>
      <c r="J534">
        <v>0</v>
      </c>
      <c r="K534">
        <v>0</v>
      </c>
      <c r="L534">
        <v>0</v>
      </c>
      <c r="M534">
        <v>0</v>
      </c>
      <c r="N534">
        <v>0</v>
      </c>
      <c r="O534">
        <v>0</v>
      </c>
      <c r="P534" s="5">
        <f t="shared" si="90"/>
        <v>0</v>
      </c>
      <c r="Q534">
        <f t="shared" si="91"/>
        <v>0</v>
      </c>
      <c r="R534">
        <f t="shared" si="92"/>
        <v>0</v>
      </c>
      <c r="S534">
        <f t="shared" si="93"/>
        <v>0</v>
      </c>
      <c r="T534">
        <f t="shared" si="94"/>
        <v>0</v>
      </c>
      <c r="U534">
        <f t="shared" si="95"/>
        <v>0</v>
      </c>
      <c r="V534">
        <f t="shared" si="96"/>
        <v>0</v>
      </c>
      <c r="W534">
        <f t="shared" si="97"/>
        <v>0</v>
      </c>
      <c r="X534">
        <f t="shared" si="98"/>
        <v>0</v>
      </c>
      <c r="Y534">
        <f t="shared" si="99"/>
        <v>0</v>
      </c>
      <c r="Z534">
        <f t="shared" si="100"/>
        <v>0</v>
      </c>
      <c r="AA534" t="str">
        <f>INDEX('Priority activities'!$D$5:$D$86,MATCH('Database for analysis'!C534,'Priority activities'!$C$5:$C$86,0))</f>
        <v>Staff and training</v>
      </c>
    </row>
    <row r="535" spans="2:27" ht="16.5" thickTop="1" thickBot="1" x14ac:dyDescent="0.3">
      <c r="B535" t="s">
        <v>195</v>
      </c>
      <c r="C535" s="22" t="str">
        <f>'Costing inputs'!$C$244</f>
        <v>HCW registration requirements for LARCs (SDA5.2)</v>
      </c>
      <c r="D535" s="22" t="str">
        <f>'Costing inputs'!$U$244</f>
        <v>Central level</v>
      </c>
      <c r="E535" s="22" t="str">
        <f>'Regional splits'!$G$14</f>
        <v>Lusaka</v>
      </c>
      <c r="F535">
        <v>0</v>
      </c>
      <c r="G535">
        <v>0</v>
      </c>
      <c r="H535">
        <v>0</v>
      </c>
      <c r="I535">
        <v>0</v>
      </c>
      <c r="J535">
        <v>0</v>
      </c>
      <c r="K535">
        <v>0</v>
      </c>
      <c r="L535">
        <v>0</v>
      </c>
      <c r="M535">
        <v>0</v>
      </c>
      <c r="N535">
        <v>0</v>
      </c>
      <c r="O535">
        <v>0</v>
      </c>
      <c r="P535" s="5">
        <f t="shared" si="90"/>
        <v>0</v>
      </c>
      <c r="Q535">
        <f t="shared" si="91"/>
        <v>0</v>
      </c>
      <c r="R535">
        <f t="shared" si="92"/>
        <v>0</v>
      </c>
      <c r="S535">
        <f t="shared" si="93"/>
        <v>0</v>
      </c>
      <c r="T535">
        <f t="shared" si="94"/>
        <v>0</v>
      </c>
      <c r="U535">
        <f t="shared" si="95"/>
        <v>0</v>
      </c>
      <c r="V535">
        <f t="shared" si="96"/>
        <v>0</v>
      </c>
      <c r="W535">
        <f t="shared" si="97"/>
        <v>0</v>
      </c>
      <c r="X535">
        <f t="shared" si="98"/>
        <v>0</v>
      </c>
      <c r="Y535">
        <f t="shared" si="99"/>
        <v>0</v>
      </c>
      <c r="Z535">
        <f t="shared" si="100"/>
        <v>0</v>
      </c>
      <c r="AA535" t="str">
        <f>INDEX('Priority activities'!$D$5:$D$86,MATCH('Database for analysis'!C535,'Priority activities'!$C$5:$C$86,0))</f>
        <v>Staff and training</v>
      </c>
    </row>
    <row r="536" spans="2:27" ht="16.5" thickTop="1" thickBot="1" x14ac:dyDescent="0.3">
      <c r="B536" t="s">
        <v>195</v>
      </c>
      <c r="C536" s="22" t="str">
        <f>'Costing inputs'!$C$244</f>
        <v>HCW registration requirements for LARCs (SDA5.2)</v>
      </c>
      <c r="D536" s="22" t="str">
        <f>'Costing inputs'!$U$244</f>
        <v>Central level</v>
      </c>
      <c r="E536" s="22" t="str">
        <f>'Regional splits'!$H$14</f>
        <v>Muchinga</v>
      </c>
      <c r="F536">
        <v>0</v>
      </c>
      <c r="G536">
        <v>0</v>
      </c>
      <c r="H536">
        <v>0</v>
      </c>
      <c r="I536">
        <v>0</v>
      </c>
      <c r="J536">
        <v>0</v>
      </c>
      <c r="K536">
        <v>0</v>
      </c>
      <c r="L536">
        <v>0</v>
      </c>
      <c r="M536">
        <v>0</v>
      </c>
      <c r="N536">
        <v>0</v>
      </c>
      <c r="O536">
        <v>0</v>
      </c>
      <c r="P536" s="5">
        <f t="shared" si="90"/>
        <v>0</v>
      </c>
      <c r="Q536">
        <f t="shared" si="91"/>
        <v>0</v>
      </c>
      <c r="R536">
        <f t="shared" si="92"/>
        <v>0</v>
      </c>
      <c r="S536">
        <f t="shared" si="93"/>
        <v>0</v>
      </c>
      <c r="T536">
        <f t="shared" si="94"/>
        <v>0</v>
      </c>
      <c r="U536">
        <f t="shared" si="95"/>
        <v>0</v>
      </c>
      <c r="V536">
        <f t="shared" si="96"/>
        <v>0</v>
      </c>
      <c r="W536">
        <f t="shared" si="97"/>
        <v>0</v>
      </c>
      <c r="X536">
        <f t="shared" si="98"/>
        <v>0</v>
      </c>
      <c r="Y536">
        <f t="shared" si="99"/>
        <v>0</v>
      </c>
      <c r="Z536">
        <f t="shared" si="100"/>
        <v>0</v>
      </c>
      <c r="AA536" t="str">
        <f>INDEX('Priority activities'!$D$5:$D$86,MATCH('Database for analysis'!C536,'Priority activities'!$C$5:$C$86,0))</f>
        <v>Staff and training</v>
      </c>
    </row>
    <row r="537" spans="2:27" ht="16.5" thickTop="1" thickBot="1" x14ac:dyDescent="0.3">
      <c r="B537" t="s">
        <v>195</v>
      </c>
      <c r="C537" s="22" t="str">
        <f>'Costing inputs'!$C$244</f>
        <v>HCW registration requirements for LARCs (SDA5.2)</v>
      </c>
      <c r="D537" s="22" t="str">
        <f>'Costing inputs'!$U$244</f>
        <v>Central level</v>
      </c>
      <c r="E537" s="22" t="str">
        <f>'Regional splits'!$I$14</f>
        <v>Northern</v>
      </c>
      <c r="F537">
        <v>0</v>
      </c>
      <c r="G537">
        <v>0</v>
      </c>
      <c r="H537">
        <v>0</v>
      </c>
      <c r="I537">
        <v>0</v>
      </c>
      <c r="J537">
        <v>0</v>
      </c>
      <c r="K537">
        <v>0</v>
      </c>
      <c r="L537">
        <v>0</v>
      </c>
      <c r="M537">
        <v>0</v>
      </c>
      <c r="N537">
        <v>0</v>
      </c>
      <c r="O537">
        <v>0</v>
      </c>
      <c r="P537" s="5">
        <f t="shared" si="90"/>
        <v>0</v>
      </c>
      <c r="Q537">
        <f t="shared" si="91"/>
        <v>0</v>
      </c>
      <c r="R537">
        <f t="shared" si="92"/>
        <v>0</v>
      </c>
      <c r="S537">
        <f t="shared" si="93"/>
        <v>0</v>
      </c>
      <c r="T537">
        <f t="shared" si="94"/>
        <v>0</v>
      </c>
      <c r="U537">
        <f t="shared" si="95"/>
        <v>0</v>
      </c>
      <c r="V537">
        <f t="shared" si="96"/>
        <v>0</v>
      </c>
      <c r="W537">
        <f t="shared" si="97"/>
        <v>0</v>
      </c>
      <c r="X537">
        <f t="shared" si="98"/>
        <v>0</v>
      </c>
      <c r="Y537">
        <f t="shared" si="99"/>
        <v>0</v>
      </c>
      <c r="Z537">
        <f t="shared" si="100"/>
        <v>0</v>
      </c>
      <c r="AA537" t="str">
        <f>INDEX('Priority activities'!$D$5:$D$86,MATCH('Database for analysis'!C537,'Priority activities'!$C$5:$C$86,0))</f>
        <v>Staff and training</v>
      </c>
    </row>
    <row r="538" spans="2:27" ht="16.5" thickTop="1" thickBot="1" x14ac:dyDescent="0.3">
      <c r="B538" t="s">
        <v>195</v>
      </c>
      <c r="C538" s="22" t="str">
        <f>'Costing inputs'!$C$244</f>
        <v>HCW registration requirements for LARCs (SDA5.2)</v>
      </c>
      <c r="D538" s="22" t="str">
        <f>'Costing inputs'!$U$244</f>
        <v>Central level</v>
      </c>
      <c r="E538" s="22" t="str">
        <f>'Regional splits'!$J$14</f>
        <v>North Western</v>
      </c>
      <c r="F538">
        <v>0</v>
      </c>
      <c r="G538">
        <v>0</v>
      </c>
      <c r="H538">
        <v>0</v>
      </c>
      <c r="I538">
        <v>0</v>
      </c>
      <c r="J538">
        <v>0</v>
      </c>
      <c r="K538">
        <v>0</v>
      </c>
      <c r="L538">
        <v>0</v>
      </c>
      <c r="M538">
        <v>0</v>
      </c>
      <c r="N538">
        <v>0</v>
      </c>
      <c r="O538">
        <v>0</v>
      </c>
      <c r="P538" s="5">
        <f t="shared" si="90"/>
        <v>0</v>
      </c>
      <c r="Q538">
        <f t="shared" si="91"/>
        <v>0</v>
      </c>
      <c r="R538">
        <f t="shared" si="92"/>
        <v>0</v>
      </c>
      <c r="S538">
        <f t="shared" si="93"/>
        <v>0</v>
      </c>
      <c r="T538">
        <f t="shared" si="94"/>
        <v>0</v>
      </c>
      <c r="U538">
        <f t="shared" si="95"/>
        <v>0</v>
      </c>
      <c r="V538">
        <f t="shared" si="96"/>
        <v>0</v>
      </c>
      <c r="W538">
        <f t="shared" si="97"/>
        <v>0</v>
      </c>
      <c r="X538">
        <f t="shared" si="98"/>
        <v>0</v>
      </c>
      <c r="Y538">
        <f t="shared" si="99"/>
        <v>0</v>
      </c>
      <c r="Z538">
        <f t="shared" si="100"/>
        <v>0</v>
      </c>
      <c r="AA538" t="str">
        <f>INDEX('Priority activities'!$D$5:$D$86,MATCH('Database for analysis'!C538,'Priority activities'!$C$5:$C$86,0))</f>
        <v>Staff and training</v>
      </c>
    </row>
    <row r="539" spans="2:27" ht="16.5" thickTop="1" thickBot="1" x14ac:dyDescent="0.3">
      <c r="B539" t="s">
        <v>195</v>
      </c>
      <c r="C539" s="22" t="str">
        <f>'Costing inputs'!$C$244</f>
        <v>HCW registration requirements for LARCs (SDA5.2)</v>
      </c>
      <c r="D539" s="22" t="str">
        <f>'Costing inputs'!$U$244</f>
        <v>Central level</v>
      </c>
      <c r="E539" s="22" t="str">
        <f>'Regional splits'!$K$14</f>
        <v>Southern</v>
      </c>
      <c r="F539">
        <v>0</v>
      </c>
      <c r="G539">
        <v>0</v>
      </c>
      <c r="H539">
        <v>0</v>
      </c>
      <c r="I539">
        <v>0</v>
      </c>
      <c r="J539">
        <v>0</v>
      </c>
      <c r="K539">
        <v>0</v>
      </c>
      <c r="L539">
        <v>0</v>
      </c>
      <c r="M539">
        <v>0</v>
      </c>
      <c r="N539">
        <v>0</v>
      </c>
      <c r="O539">
        <v>0</v>
      </c>
      <c r="P539" s="5">
        <f t="shared" si="90"/>
        <v>0</v>
      </c>
      <c r="Q539">
        <f t="shared" si="91"/>
        <v>0</v>
      </c>
      <c r="R539">
        <f t="shared" si="92"/>
        <v>0</v>
      </c>
      <c r="S539">
        <f t="shared" si="93"/>
        <v>0</v>
      </c>
      <c r="T539">
        <f t="shared" si="94"/>
        <v>0</v>
      </c>
      <c r="U539">
        <f t="shared" si="95"/>
        <v>0</v>
      </c>
      <c r="V539">
        <f t="shared" si="96"/>
        <v>0</v>
      </c>
      <c r="W539">
        <f t="shared" si="97"/>
        <v>0</v>
      </c>
      <c r="X539">
        <f t="shared" si="98"/>
        <v>0</v>
      </c>
      <c r="Y539">
        <f t="shared" si="99"/>
        <v>0</v>
      </c>
      <c r="Z539">
        <f t="shared" si="100"/>
        <v>0</v>
      </c>
      <c r="AA539" t="str">
        <f>INDEX('Priority activities'!$D$5:$D$86,MATCH('Database for analysis'!C539,'Priority activities'!$C$5:$C$86,0))</f>
        <v>Staff and training</v>
      </c>
    </row>
    <row r="540" spans="2:27" ht="16.5" thickTop="1" thickBot="1" x14ac:dyDescent="0.3">
      <c r="B540" t="s">
        <v>195</v>
      </c>
      <c r="C540" s="22" t="str">
        <f>'Costing inputs'!$C$244</f>
        <v>HCW registration requirements for LARCs (SDA5.2)</v>
      </c>
      <c r="D540" s="22" t="str">
        <f>'Costing inputs'!$U$244</f>
        <v>Central level</v>
      </c>
      <c r="E540" s="22" t="str">
        <f>'Regional splits'!$L$14</f>
        <v>Western</v>
      </c>
      <c r="F540">
        <v>0</v>
      </c>
      <c r="G540">
        <v>0</v>
      </c>
      <c r="H540">
        <v>0</v>
      </c>
      <c r="I540">
        <v>0</v>
      </c>
      <c r="J540">
        <v>0</v>
      </c>
      <c r="K540">
        <v>0</v>
      </c>
      <c r="L540">
        <v>0</v>
      </c>
      <c r="M540">
        <v>0</v>
      </c>
      <c r="N540">
        <v>0</v>
      </c>
      <c r="O540">
        <v>0</v>
      </c>
      <c r="P540" s="5">
        <f t="shared" si="90"/>
        <v>0</v>
      </c>
      <c r="Q540">
        <f t="shared" si="91"/>
        <v>0</v>
      </c>
      <c r="R540">
        <f t="shared" si="92"/>
        <v>0</v>
      </c>
      <c r="S540">
        <f t="shared" si="93"/>
        <v>0</v>
      </c>
      <c r="T540">
        <f t="shared" si="94"/>
        <v>0</v>
      </c>
      <c r="U540">
        <f t="shared" si="95"/>
        <v>0</v>
      </c>
      <c r="V540">
        <f t="shared" si="96"/>
        <v>0</v>
      </c>
      <c r="W540">
        <f t="shared" si="97"/>
        <v>0</v>
      </c>
      <c r="X540">
        <f t="shared" si="98"/>
        <v>0</v>
      </c>
      <c r="Y540">
        <f t="shared" si="99"/>
        <v>0</v>
      </c>
      <c r="Z540">
        <f t="shared" si="100"/>
        <v>0</v>
      </c>
      <c r="AA540" t="str">
        <f>INDEX('Priority activities'!$D$5:$D$86,MATCH('Database for analysis'!C540,'Priority activities'!$C$5:$C$86,0))</f>
        <v>Staff and training</v>
      </c>
    </row>
    <row r="541" spans="2:27" ht="16.5" thickTop="1" thickBot="1" x14ac:dyDescent="0.3">
      <c r="B541" t="s">
        <v>195</v>
      </c>
      <c r="C541" s="22" t="str">
        <f>'Costing inputs'!$C$244</f>
        <v>HCW registration requirements for LARCs (SDA5.2)</v>
      </c>
      <c r="D541" s="22" t="str">
        <f>'Costing inputs'!$U$244</f>
        <v>Central level</v>
      </c>
      <c r="E541" s="22">
        <f>'Regional splits'!$M$14</f>
        <v>0</v>
      </c>
      <c r="F541">
        <v>0</v>
      </c>
      <c r="G541">
        <v>0</v>
      </c>
      <c r="H541">
        <v>0</v>
      </c>
      <c r="I541">
        <v>0</v>
      </c>
      <c r="J541">
        <v>0</v>
      </c>
      <c r="K541">
        <v>0</v>
      </c>
      <c r="L541">
        <v>0</v>
      </c>
      <c r="M541">
        <v>0</v>
      </c>
      <c r="N541">
        <v>0</v>
      </c>
      <c r="O541">
        <v>0</v>
      </c>
      <c r="P541" s="5">
        <f t="shared" si="90"/>
        <v>0</v>
      </c>
      <c r="Q541">
        <f t="shared" si="91"/>
        <v>0</v>
      </c>
      <c r="R541">
        <f t="shared" si="92"/>
        <v>0</v>
      </c>
      <c r="S541">
        <f t="shared" si="93"/>
        <v>0</v>
      </c>
      <c r="T541">
        <f t="shared" si="94"/>
        <v>0</v>
      </c>
      <c r="U541">
        <f t="shared" si="95"/>
        <v>0</v>
      </c>
      <c r="V541">
        <f t="shared" si="96"/>
        <v>0</v>
      </c>
      <c r="W541">
        <f t="shared" si="97"/>
        <v>0</v>
      </c>
      <c r="X541">
        <f t="shared" si="98"/>
        <v>0</v>
      </c>
      <c r="Y541">
        <f t="shared" si="99"/>
        <v>0</v>
      </c>
      <c r="Z541">
        <f t="shared" si="100"/>
        <v>0</v>
      </c>
      <c r="AA541" t="str">
        <f>INDEX('Priority activities'!$D$5:$D$86,MATCH('Database for analysis'!C541,'Priority activities'!$C$5:$C$86,0))</f>
        <v>Staff and training</v>
      </c>
    </row>
    <row r="542" spans="2:27" ht="16.5" thickTop="1" thickBot="1" x14ac:dyDescent="0.3">
      <c r="B542" t="s">
        <v>195</v>
      </c>
      <c r="C542" s="22" t="str">
        <f>'Costing inputs'!$C$244</f>
        <v>HCW registration requirements for LARCs (SDA5.2)</v>
      </c>
      <c r="D542" s="22" t="str">
        <f>'Costing inputs'!$U$244</f>
        <v>Central level</v>
      </c>
      <c r="E542" s="22">
        <f>'Regional splits'!$N$14</f>
        <v>0</v>
      </c>
      <c r="F542">
        <v>0</v>
      </c>
      <c r="G542">
        <v>0</v>
      </c>
      <c r="H542">
        <v>0</v>
      </c>
      <c r="I542">
        <v>0</v>
      </c>
      <c r="J542">
        <v>0</v>
      </c>
      <c r="K542">
        <v>0</v>
      </c>
      <c r="L542">
        <v>0</v>
      </c>
      <c r="M542">
        <v>0</v>
      </c>
      <c r="N542">
        <v>0</v>
      </c>
      <c r="O542">
        <v>0</v>
      </c>
      <c r="P542" s="5">
        <f t="shared" si="90"/>
        <v>0</v>
      </c>
      <c r="Q542">
        <f t="shared" si="91"/>
        <v>0</v>
      </c>
      <c r="R542">
        <f t="shared" si="92"/>
        <v>0</v>
      </c>
      <c r="S542">
        <f t="shared" si="93"/>
        <v>0</v>
      </c>
      <c r="T542">
        <f t="shared" si="94"/>
        <v>0</v>
      </c>
      <c r="U542">
        <f t="shared" si="95"/>
        <v>0</v>
      </c>
      <c r="V542">
        <f t="shared" si="96"/>
        <v>0</v>
      </c>
      <c r="W542">
        <f t="shared" si="97"/>
        <v>0</v>
      </c>
      <c r="X542">
        <f t="shared" si="98"/>
        <v>0</v>
      </c>
      <c r="Y542">
        <f t="shared" si="99"/>
        <v>0</v>
      </c>
      <c r="Z542">
        <f t="shared" si="100"/>
        <v>0</v>
      </c>
      <c r="AA542" t="str">
        <f>INDEX('Priority activities'!$D$5:$D$86,MATCH('Database for analysis'!C542,'Priority activities'!$C$5:$C$86,0))</f>
        <v>Staff and training</v>
      </c>
    </row>
    <row r="543" spans="2:27" ht="16.5" thickTop="1" thickBot="1" x14ac:dyDescent="0.3">
      <c r="B543" t="s">
        <v>195</v>
      </c>
      <c r="C543" s="22" t="str">
        <f>'Costing inputs'!$C$244</f>
        <v>HCW registration requirements for LARCs (SDA5.2)</v>
      </c>
      <c r="D543" s="22" t="str">
        <f>'Costing inputs'!$U$244</f>
        <v>Central level</v>
      </c>
      <c r="E543" s="22">
        <f>'Regional splits'!$O$14</f>
        <v>0</v>
      </c>
      <c r="F543">
        <v>0</v>
      </c>
      <c r="G543">
        <v>0</v>
      </c>
      <c r="H543">
        <v>0</v>
      </c>
      <c r="I543">
        <v>0</v>
      </c>
      <c r="J543">
        <v>0</v>
      </c>
      <c r="K543">
        <v>0</v>
      </c>
      <c r="L543">
        <v>0</v>
      </c>
      <c r="M543">
        <v>0</v>
      </c>
      <c r="N543">
        <v>0</v>
      </c>
      <c r="O543">
        <v>0</v>
      </c>
      <c r="P543" s="5">
        <f t="shared" si="90"/>
        <v>0</v>
      </c>
      <c r="Q543">
        <f t="shared" si="91"/>
        <v>0</v>
      </c>
      <c r="R543">
        <f t="shared" si="92"/>
        <v>0</v>
      </c>
      <c r="S543">
        <f t="shared" si="93"/>
        <v>0</v>
      </c>
      <c r="T543">
        <f t="shared" si="94"/>
        <v>0</v>
      </c>
      <c r="U543">
        <f t="shared" si="95"/>
        <v>0</v>
      </c>
      <c r="V543">
        <f t="shared" si="96"/>
        <v>0</v>
      </c>
      <c r="W543">
        <f t="shared" si="97"/>
        <v>0</v>
      </c>
      <c r="X543">
        <f t="shared" si="98"/>
        <v>0</v>
      </c>
      <c r="Y543">
        <f t="shared" si="99"/>
        <v>0</v>
      </c>
      <c r="Z543">
        <f t="shared" si="100"/>
        <v>0</v>
      </c>
      <c r="AA543" t="str">
        <f>INDEX('Priority activities'!$D$5:$D$86,MATCH('Database for analysis'!C543,'Priority activities'!$C$5:$C$86,0))</f>
        <v>Staff and training</v>
      </c>
    </row>
    <row r="544" spans="2:27" ht="16.5" thickTop="1" thickBot="1" x14ac:dyDescent="0.3">
      <c r="B544" t="s">
        <v>195</v>
      </c>
      <c r="C544" s="22" t="str">
        <f>'Costing inputs'!$C$244</f>
        <v>HCW registration requirements for LARCs (SDA5.2)</v>
      </c>
      <c r="D544" s="22" t="str">
        <f>'Costing inputs'!$U$244</f>
        <v>Central level</v>
      </c>
      <c r="E544" s="22">
        <f>'Regional splits'!$P$14</f>
        <v>0</v>
      </c>
      <c r="F544">
        <v>0</v>
      </c>
      <c r="G544">
        <v>0</v>
      </c>
      <c r="H544">
        <v>0</v>
      </c>
      <c r="I544">
        <v>0</v>
      </c>
      <c r="J544">
        <v>0</v>
      </c>
      <c r="K544">
        <v>0</v>
      </c>
      <c r="L544">
        <v>0</v>
      </c>
      <c r="M544">
        <v>0</v>
      </c>
      <c r="N544">
        <v>0</v>
      </c>
      <c r="O544">
        <v>0</v>
      </c>
      <c r="P544" s="5">
        <f t="shared" si="90"/>
        <v>0</v>
      </c>
      <c r="Q544">
        <f t="shared" si="91"/>
        <v>0</v>
      </c>
      <c r="R544">
        <f t="shared" si="92"/>
        <v>0</v>
      </c>
      <c r="S544">
        <f t="shared" si="93"/>
        <v>0</v>
      </c>
      <c r="T544">
        <f t="shared" si="94"/>
        <v>0</v>
      </c>
      <c r="U544">
        <f t="shared" si="95"/>
        <v>0</v>
      </c>
      <c r="V544">
        <f t="shared" si="96"/>
        <v>0</v>
      </c>
      <c r="W544">
        <f t="shared" si="97"/>
        <v>0</v>
      </c>
      <c r="X544">
        <f t="shared" si="98"/>
        <v>0</v>
      </c>
      <c r="Y544">
        <f t="shared" si="99"/>
        <v>0</v>
      </c>
      <c r="Z544">
        <f t="shared" si="100"/>
        <v>0</v>
      </c>
      <c r="AA544" t="str">
        <f>INDEX('Priority activities'!$D$5:$D$86,MATCH('Database for analysis'!C544,'Priority activities'!$C$5:$C$86,0))</f>
        <v>Staff and training</v>
      </c>
    </row>
    <row r="545" spans="2:27" ht="16.5" thickTop="1" thickBot="1" x14ac:dyDescent="0.3">
      <c r="B545" t="s">
        <v>195</v>
      </c>
      <c r="C545" s="22" t="str">
        <f>'Costing inputs'!$C$244</f>
        <v>HCW registration requirements for LARCs (SDA5.2)</v>
      </c>
      <c r="D545" s="22" t="str">
        <f>'Costing inputs'!$U$244</f>
        <v>Central level</v>
      </c>
      <c r="E545" s="22">
        <f>'Regional splits'!$Q$14</f>
        <v>0</v>
      </c>
      <c r="F545">
        <v>0</v>
      </c>
      <c r="G545">
        <v>0</v>
      </c>
      <c r="H545">
        <v>0</v>
      </c>
      <c r="I545">
        <v>0</v>
      </c>
      <c r="J545">
        <v>0</v>
      </c>
      <c r="K545">
        <v>0</v>
      </c>
      <c r="L545">
        <v>0</v>
      </c>
      <c r="M545">
        <v>0</v>
      </c>
      <c r="N545">
        <v>0</v>
      </c>
      <c r="O545">
        <v>0</v>
      </c>
      <c r="P545" s="5">
        <f t="shared" si="90"/>
        <v>0</v>
      </c>
      <c r="Q545">
        <f t="shared" si="91"/>
        <v>0</v>
      </c>
      <c r="R545">
        <f t="shared" si="92"/>
        <v>0</v>
      </c>
      <c r="S545">
        <f t="shared" si="93"/>
        <v>0</v>
      </c>
      <c r="T545">
        <f t="shared" si="94"/>
        <v>0</v>
      </c>
      <c r="U545">
        <f t="shared" si="95"/>
        <v>0</v>
      </c>
      <c r="V545">
        <f t="shared" si="96"/>
        <v>0</v>
      </c>
      <c r="W545">
        <f t="shared" si="97"/>
        <v>0</v>
      </c>
      <c r="X545">
        <f t="shared" si="98"/>
        <v>0</v>
      </c>
      <c r="Y545">
        <f t="shared" si="99"/>
        <v>0</v>
      </c>
      <c r="Z545">
        <f t="shared" si="100"/>
        <v>0</v>
      </c>
      <c r="AA545" t="str">
        <f>INDEX('Priority activities'!$D$5:$D$86,MATCH('Database for analysis'!C545,'Priority activities'!$C$5:$C$86,0))</f>
        <v>Staff and training</v>
      </c>
    </row>
    <row r="546" spans="2:27" ht="16.5" thickTop="1" thickBot="1" x14ac:dyDescent="0.3">
      <c r="B546" t="s">
        <v>195</v>
      </c>
      <c r="C546" s="22" t="str">
        <f>'Costing inputs'!$C$244</f>
        <v>HCW registration requirements for LARCs (SDA5.2)</v>
      </c>
      <c r="D546" s="22" t="str">
        <f>'Costing inputs'!$U$244</f>
        <v>Central level</v>
      </c>
      <c r="E546" s="22" t="str">
        <f>'Regional splits'!$R$14</f>
        <v>National-level</v>
      </c>
      <c r="F546">
        <v>0</v>
      </c>
      <c r="G546">
        <v>28677.576000000001</v>
      </c>
      <c r="H546">
        <v>0</v>
      </c>
      <c r="I546">
        <v>0</v>
      </c>
      <c r="J546">
        <v>0</v>
      </c>
      <c r="K546">
        <v>0</v>
      </c>
      <c r="L546">
        <v>0</v>
      </c>
      <c r="M546">
        <v>0</v>
      </c>
      <c r="N546">
        <v>0</v>
      </c>
      <c r="O546">
        <v>0</v>
      </c>
      <c r="P546" s="5">
        <f t="shared" si="90"/>
        <v>28677.576000000001</v>
      </c>
      <c r="Q546">
        <f t="shared" si="91"/>
        <v>0</v>
      </c>
      <c r="R546">
        <f t="shared" si="92"/>
        <v>28677.576000000001</v>
      </c>
      <c r="S546">
        <f t="shared" si="93"/>
        <v>0</v>
      </c>
      <c r="T546">
        <f t="shared" si="94"/>
        <v>0</v>
      </c>
      <c r="U546">
        <f t="shared" si="95"/>
        <v>0</v>
      </c>
      <c r="V546">
        <f t="shared" si="96"/>
        <v>0</v>
      </c>
      <c r="W546">
        <f t="shared" si="97"/>
        <v>0</v>
      </c>
      <c r="X546">
        <f t="shared" si="98"/>
        <v>0</v>
      </c>
      <c r="Y546">
        <f t="shared" si="99"/>
        <v>0</v>
      </c>
      <c r="Z546">
        <f t="shared" si="100"/>
        <v>0</v>
      </c>
      <c r="AA546" t="str">
        <f>INDEX('Priority activities'!$D$5:$D$86,MATCH('Database for analysis'!C546,'Priority activities'!$C$5:$C$86,0))</f>
        <v>Staff and training</v>
      </c>
    </row>
    <row r="547" spans="2:27" ht="16.5" thickTop="1" thickBot="1" x14ac:dyDescent="0.3">
      <c r="B547" t="s">
        <v>713</v>
      </c>
      <c r="C547" s="22" t="str">
        <f>'Costing inputs'!$C$289</f>
        <v>Contraceptives</v>
      </c>
      <c r="D547" s="22">
        <f>'Costing inputs'!$U$289</f>
        <v>0</v>
      </c>
      <c r="E547" s="22" t="str">
        <f>'Regional splits'!$C$14</f>
        <v>Central</v>
      </c>
      <c r="F547" s="10">
        <v>0</v>
      </c>
      <c r="G547" s="10">
        <v>0</v>
      </c>
      <c r="H547" s="10">
        <v>0</v>
      </c>
      <c r="I547" s="10">
        <v>0</v>
      </c>
      <c r="J547" s="10">
        <v>0</v>
      </c>
      <c r="K547" s="10">
        <v>0</v>
      </c>
      <c r="L547" s="10">
        <v>0</v>
      </c>
      <c r="M547" s="10">
        <v>0</v>
      </c>
      <c r="N547" s="10">
        <v>0</v>
      </c>
      <c r="O547" s="10">
        <v>0</v>
      </c>
      <c r="P547" s="5">
        <f t="shared" si="90"/>
        <v>0</v>
      </c>
      <c r="Q547">
        <f t="shared" si="91"/>
        <v>0</v>
      </c>
      <c r="R547">
        <f t="shared" si="92"/>
        <v>0</v>
      </c>
      <c r="S547">
        <f t="shared" si="93"/>
        <v>0</v>
      </c>
      <c r="T547">
        <f t="shared" si="94"/>
        <v>0</v>
      </c>
      <c r="U547">
        <f t="shared" si="95"/>
        <v>0</v>
      </c>
      <c r="V547">
        <f t="shared" si="96"/>
        <v>0</v>
      </c>
      <c r="W547">
        <f t="shared" si="97"/>
        <v>0</v>
      </c>
      <c r="X547">
        <f t="shared" si="98"/>
        <v>0</v>
      </c>
      <c r="Y547">
        <f t="shared" si="99"/>
        <v>0</v>
      </c>
      <c r="Z547">
        <f t="shared" si="100"/>
        <v>0</v>
      </c>
      <c r="AA547" t="str">
        <f>INDEX('Priority activities'!$D$5:$D$86,MATCH('Database for analysis'!C547,'Priority activities'!$C$5:$C$86,0))</f>
        <v>n/a</v>
      </c>
    </row>
    <row r="548" spans="2:27" ht="16.5" thickTop="1" thickBot="1" x14ac:dyDescent="0.3">
      <c r="B548" t="s">
        <v>713</v>
      </c>
      <c r="C548" s="22" t="str">
        <f>'Costing inputs'!$C$289</f>
        <v>Contraceptives</v>
      </c>
      <c r="D548" s="22">
        <f>'Costing inputs'!$U$289</f>
        <v>0</v>
      </c>
      <c r="E548" s="22" t="str">
        <f>'Regional splits'!$D$14</f>
        <v>Copperbelt</v>
      </c>
      <c r="F548" s="10">
        <v>0</v>
      </c>
      <c r="G548" s="10">
        <v>0</v>
      </c>
      <c r="H548" s="10">
        <v>0</v>
      </c>
      <c r="I548" s="10">
        <v>0</v>
      </c>
      <c r="J548" s="10">
        <v>0</v>
      </c>
      <c r="K548" s="10">
        <v>0</v>
      </c>
      <c r="L548" s="10">
        <v>0</v>
      </c>
      <c r="M548" s="10">
        <v>0</v>
      </c>
      <c r="N548" s="10">
        <v>0</v>
      </c>
      <c r="O548" s="10">
        <v>0</v>
      </c>
      <c r="P548" s="5">
        <f t="shared" si="90"/>
        <v>0</v>
      </c>
      <c r="Q548">
        <f t="shared" si="91"/>
        <v>0</v>
      </c>
      <c r="R548">
        <f t="shared" si="92"/>
        <v>0</v>
      </c>
      <c r="S548">
        <f t="shared" si="93"/>
        <v>0</v>
      </c>
      <c r="T548">
        <f t="shared" si="94"/>
        <v>0</v>
      </c>
      <c r="U548">
        <f t="shared" si="95"/>
        <v>0</v>
      </c>
      <c r="V548">
        <f t="shared" si="96"/>
        <v>0</v>
      </c>
      <c r="W548">
        <f t="shared" si="97"/>
        <v>0</v>
      </c>
      <c r="X548">
        <f t="shared" si="98"/>
        <v>0</v>
      </c>
      <c r="Y548">
        <f t="shared" si="99"/>
        <v>0</v>
      </c>
      <c r="Z548">
        <f t="shared" si="100"/>
        <v>0</v>
      </c>
      <c r="AA548" t="str">
        <f>INDEX('Priority activities'!$D$5:$D$86,MATCH('Database for analysis'!C548,'Priority activities'!$C$5:$C$86,0))</f>
        <v>n/a</v>
      </c>
    </row>
    <row r="549" spans="2:27" ht="16.5" thickTop="1" thickBot="1" x14ac:dyDescent="0.3">
      <c r="B549" t="s">
        <v>713</v>
      </c>
      <c r="C549" s="22" t="str">
        <f>'Costing inputs'!$C$289</f>
        <v>Contraceptives</v>
      </c>
      <c r="D549" s="22">
        <f>'Costing inputs'!$U$289</f>
        <v>0</v>
      </c>
      <c r="E549" s="22" t="str">
        <f>'Regional splits'!$E$14</f>
        <v>Eastern</v>
      </c>
      <c r="F549" s="10">
        <v>0</v>
      </c>
      <c r="G549" s="10">
        <v>0</v>
      </c>
      <c r="H549" s="10">
        <v>0</v>
      </c>
      <c r="I549" s="10">
        <v>0</v>
      </c>
      <c r="J549" s="10">
        <v>0</v>
      </c>
      <c r="K549" s="10">
        <v>0</v>
      </c>
      <c r="L549" s="10">
        <v>0</v>
      </c>
      <c r="M549" s="10">
        <v>0</v>
      </c>
      <c r="N549" s="10">
        <v>0</v>
      </c>
      <c r="O549" s="10">
        <v>0</v>
      </c>
      <c r="P549" s="5">
        <f t="shared" si="90"/>
        <v>0</v>
      </c>
      <c r="Q549">
        <f t="shared" si="91"/>
        <v>0</v>
      </c>
      <c r="R549">
        <f t="shared" si="92"/>
        <v>0</v>
      </c>
      <c r="S549">
        <f t="shared" si="93"/>
        <v>0</v>
      </c>
      <c r="T549">
        <f t="shared" si="94"/>
        <v>0</v>
      </c>
      <c r="U549">
        <f t="shared" si="95"/>
        <v>0</v>
      </c>
      <c r="V549">
        <f t="shared" si="96"/>
        <v>0</v>
      </c>
      <c r="W549">
        <f t="shared" si="97"/>
        <v>0</v>
      </c>
      <c r="X549">
        <f t="shared" si="98"/>
        <v>0</v>
      </c>
      <c r="Y549">
        <f t="shared" si="99"/>
        <v>0</v>
      </c>
      <c r="Z549">
        <f t="shared" si="100"/>
        <v>0</v>
      </c>
      <c r="AA549" t="str">
        <f>INDEX('Priority activities'!$D$5:$D$86,MATCH('Database for analysis'!C549,'Priority activities'!$C$5:$C$86,0))</f>
        <v>n/a</v>
      </c>
    </row>
    <row r="550" spans="2:27" ht="16.5" thickTop="1" thickBot="1" x14ac:dyDescent="0.3">
      <c r="B550" t="s">
        <v>713</v>
      </c>
      <c r="C550" s="22" t="str">
        <f>'Costing inputs'!$C$289</f>
        <v>Contraceptives</v>
      </c>
      <c r="D550" s="22">
        <f>'Costing inputs'!$U$289</f>
        <v>0</v>
      </c>
      <c r="E550" s="22" t="str">
        <f>'Regional splits'!$F$14</f>
        <v>Luapula</v>
      </c>
      <c r="F550" s="10">
        <v>0</v>
      </c>
      <c r="G550" s="10">
        <v>0</v>
      </c>
      <c r="H550" s="10">
        <v>0</v>
      </c>
      <c r="I550" s="10">
        <v>0</v>
      </c>
      <c r="J550" s="10">
        <v>0</v>
      </c>
      <c r="K550" s="10">
        <v>0</v>
      </c>
      <c r="L550" s="10">
        <v>0</v>
      </c>
      <c r="M550" s="10">
        <v>0</v>
      </c>
      <c r="N550" s="10">
        <v>0</v>
      </c>
      <c r="O550" s="10">
        <v>0</v>
      </c>
      <c r="P550" s="5">
        <f t="shared" si="90"/>
        <v>0</v>
      </c>
      <c r="Q550">
        <f t="shared" si="91"/>
        <v>0</v>
      </c>
      <c r="R550">
        <f t="shared" si="92"/>
        <v>0</v>
      </c>
      <c r="S550">
        <f t="shared" si="93"/>
        <v>0</v>
      </c>
      <c r="T550">
        <f t="shared" si="94"/>
        <v>0</v>
      </c>
      <c r="U550">
        <f t="shared" si="95"/>
        <v>0</v>
      </c>
      <c r="V550">
        <f t="shared" si="96"/>
        <v>0</v>
      </c>
      <c r="W550">
        <f t="shared" si="97"/>
        <v>0</v>
      </c>
      <c r="X550">
        <f t="shared" si="98"/>
        <v>0</v>
      </c>
      <c r="Y550">
        <f t="shared" si="99"/>
        <v>0</v>
      </c>
      <c r="Z550">
        <f t="shared" si="100"/>
        <v>0</v>
      </c>
      <c r="AA550" t="str">
        <f>INDEX('Priority activities'!$D$5:$D$86,MATCH('Database for analysis'!C550,'Priority activities'!$C$5:$C$86,0))</f>
        <v>n/a</v>
      </c>
    </row>
    <row r="551" spans="2:27" ht="16.5" thickTop="1" thickBot="1" x14ac:dyDescent="0.3">
      <c r="B551" t="s">
        <v>713</v>
      </c>
      <c r="C551" s="22" t="str">
        <f>'Costing inputs'!$C$289</f>
        <v>Contraceptives</v>
      </c>
      <c r="D551" s="22">
        <f>'Costing inputs'!$U$289</f>
        <v>0</v>
      </c>
      <c r="E551" s="22" t="str">
        <f>'Regional splits'!$G$14</f>
        <v>Lusaka</v>
      </c>
      <c r="F551" s="10">
        <v>0</v>
      </c>
      <c r="G551" s="10">
        <v>0</v>
      </c>
      <c r="H551" s="10">
        <v>0</v>
      </c>
      <c r="I551" s="10">
        <v>0</v>
      </c>
      <c r="J551" s="10">
        <v>0</v>
      </c>
      <c r="K551" s="10">
        <v>0</v>
      </c>
      <c r="L551" s="10">
        <v>0</v>
      </c>
      <c r="M551" s="10">
        <v>0</v>
      </c>
      <c r="N551" s="10">
        <v>0</v>
      </c>
      <c r="O551" s="10">
        <v>0</v>
      </c>
      <c r="P551" s="5">
        <f t="shared" si="90"/>
        <v>0</v>
      </c>
      <c r="Q551">
        <f t="shared" si="91"/>
        <v>0</v>
      </c>
      <c r="R551">
        <f t="shared" si="92"/>
        <v>0</v>
      </c>
      <c r="S551">
        <f t="shared" si="93"/>
        <v>0</v>
      </c>
      <c r="T551">
        <f t="shared" si="94"/>
        <v>0</v>
      </c>
      <c r="U551">
        <f t="shared" si="95"/>
        <v>0</v>
      </c>
      <c r="V551">
        <f t="shared" si="96"/>
        <v>0</v>
      </c>
      <c r="W551">
        <f t="shared" si="97"/>
        <v>0</v>
      </c>
      <c r="X551">
        <f t="shared" si="98"/>
        <v>0</v>
      </c>
      <c r="Y551">
        <f t="shared" si="99"/>
        <v>0</v>
      </c>
      <c r="Z551">
        <f t="shared" si="100"/>
        <v>0</v>
      </c>
      <c r="AA551" t="str">
        <f>INDEX('Priority activities'!$D$5:$D$86,MATCH('Database for analysis'!C551,'Priority activities'!$C$5:$C$86,0))</f>
        <v>n/a</v>
      </c>
    </row>
    <row r="552" spans="2:27" ht="16.5" thickTop="1" thickBot="1" x14ac:dyDescent="0.3">
      <c r="B552" t="s">
        <v>713</v>
      </c>
      <c r="C552" s="22" t="str">
        <f>'Costing inputs'!$C$289</f>
        <v>Contraceptives</v>
      </c>
      <c r="D552" s="22">
        <f>'Costing inputs'!$U$289</f>
        <v>0</v>
      </c>
      <c r="E552" s="22" t="str">
        <f>'Regional splits'!$H$14</f>
        <v>Muchinga</v>
      </c>
      <c r="F552" s="10">
        <v>0</v>
      </c>
      <c r="G552" s="10">
        <v>0</v>
      </c>
      <c r="H552" s="10">
        <v>0</v>
      </c>
      <c r="I552" s="10">
        <v>0</v>
      </c>
      <c r="J552" s="10">
        <v>0</v>
      </c>
      <c r="K552" s="10">
        <v>0</v>
      </c>
      <c r="L552" s="10">
        <v>0</v>
      </c>
      <c r="M552" s="10">
        <v>0</v>
      </c>
      <c r="N552" s="10">
        <v>0</v>
      </c>
      <c r="O552" s="10">
        <v>0</v>
      </c>
      <c r="P552" s="5">
        <f t="shared" si="90"/>
        <v>0</v>
      </c>
      <c r="Q552">
        <f t="shared" si="91"/>
        <v>0</v>
      </c>
      <c r="R552">
        <f t="shared" si="92"/>
        <v>0</v>
      </c>
      <c r="S552">
        <f t="shared" si="93"/>
        <v>0</v>
      </c>
      <c r="T552">
        <f t="shared" si="94"/>
        <v>0</v>
      </c>
      <c r="U552">
        <f t="shared" si="95"/>
        <v>0</v>
      </c>
      <c r="V552">
        <f t="shared" si="96"/>
        <v>0</v>
      </c>
      <c r="W552">
        <f t="shared" si="97"/>
        <v>0</v>
      </c>
      <c r="X552">
        <f t="shared" si="98"/>
        <v>0</v>
      </c>
      <c r="Y552">
        <f t="shared" si="99"/>
        <v>0</v>
      </c>
      <c r="Z552">
        <f t="shared" si="100"/>
        <v>0</v>
      </c>
      <c r="AA552" t="str">
        <f>INDEX('Priority activities'!$D$5:$D$86,MATCH('Database for analysis'!C552,'Priority activities'!$C$5:$C$86,0))</f>
        <v>n/a</v>
      </c>
    </row>
    <row r="553" spans="2:27" ht="16.5" thickTop="1" thickBot="1" x14ac:dyDescent="0.3">
      <c r="B553" t="s">
        <v>713</v>
      </c>
      <c r="C553" s="22" t="str">
        <f>'Costing inputs'!$C$289</f>
        <v>Contraceptives</v>
      </c>
      <c r="D553" s="22">
        <f>'Costing inputs'!$U$289</f>
        <v>0</v>
      </c>
      <c r="E553" s="22" t="str">
        <f>'Regional splits'!$I$14</f>
        <v>Northern</v>
      </c>
      <c r="F553" s="10">
        <v>0</v>
      </c>
      <c r="G553" s="10">
        <v>0</v>
      </c>
      <c r="H553" s="10">
        <v>0</v>
      </c>
      <c r="I553" s="10">
        <v>0</v>
      </c>
      <c r="J553" s="10">
        <v>0</v>
      </c>
      <c r="K553" s="10">
        <v>0</v>
      </c>
      <c r="L553" s="10">
        <v>0</v>
      </c>
      <c r="M553" s="10">
        <v>0</v>
      </c>
      <c r="N553" s="10">
        <v>0</v>
      </c>
      <c r="O553" s="10">
        <v>0</v>
      </c>
      <c r="P553" s="5">
        <f t="shared" si="90"/>
        <v>0</v>
      </c>
      <c r="Q553">
        <f t="shared" si="91"/>
        <v>0</v>
      </c>
      <c r="R553">
        <f t="shared" si="92"/>
        <v>0</v>
      </c>
      <c r="S553">
        <f t="shared" si="93"/>
        <v>0</v>
      </c>
      <c r="T553">
        <f t="shared" si="94"/>
        <v>0</v>
      </c>
      <c r="U553">
        <f t="shared" si="95"/>
        <v>0</v>
      </c>
      <c r="V553">
        <f t="shared" si="96"/>
        <v>0</v>
      </c>
      <c r="W553">
        <f t="shared" si="97"/>
        <v>0</v>
      </c>
      <c r="X553">
        <f t="shared" si="98"/>
        <v>0</v>
      </c>
      <c r="Y553">
        <f t="shared" si="99"/>
        <v>0</v>
      </c>
      <c r="Z553">
        <f t="shared" si="100"/>
        <v>0</v>
      </c>
      <c r="AA553" t="str">
        <f>INDEX('Priority activities'!$D$5:$D$86,MATCH('Database for analysis'!C553,'Priority activities'!$C$5:$C$86,0))</f>
        <v>n/a</v>
      </c>
    </row>
    <row r="554" spans="2:27" ht="16.5" thickTop="1" thickBot="1" x14ac:dyDescent="0.3">
      <c r="B554" t="s">
        <v>713</v>
      </c>
      <c r="C554" s="22" t="str">
        <f>'Costing inputs'!$C$289</f>
        <v>Contraceptives</v>
      </c>
      <c r="D554" s="22">
        <f>'Costing inputs'!$U$289</f>
        <v>0</v>
      </c>
      <c r="E554" s="22" t="str">
        <f>'Regional splits'!$J$14</f>
        <v>North Western</v>
      </c>
      <c r="F554" s="10">
        <v>0</v>
      </c>
      <c r="G554" s="10">
        <v>0</v>
      </c>
      <c r="H554" s="10">
        <v>0</v>
      </c>
      <c r="I554" s="10">
        <v>0</v>
      </c>
      <c r="J554" s="10">
        <v>0</v>
      </c>
      <c r="K554" s="10">
        <v>0</v>
      </c>
      <c r="L554" s="10">
        <v>0</v>
      </c>
      <c r="M554" s="10">
        <v>0</v>
      </c>
      <c r="N554" s="10">
        <v>0</v>
      </c>
      <c r="O554" s="10">
        <v>0</v>
      </c>
      <c r="P554" s="5">
        <f t="shared" si="90"/>
        <v>0</v>
      </c>
      <c r="Q554">
        <f t="shared" si="91"/>
        <v>0</v>
      </c>
      <c r="R554">
        <f t="shared" si="92"/>
        <v>0</v>
      </c>
      <c r="S554">
        <f t="shared" si="93"/>
        <v>0</v>
      </c>
      <c r="T554">
        <f t="shared" si="94"/>
        <v>0</v>
      </c>
      <c r="U554">
        <f t="shared" si="95"/>
        <v>0</v>
      </c>
      <c r="V554">
        <f t="shared" si="96"/>
        <v>0</v>
      </c>
      <c r="W554">
        <f t="shared" si="97"/>
        <v>0</v>
      </c>
      <c r="X554">
        <f t="shared" si="98"/>
        <v>0</v>
      </c>
      <c r="Y554">
        <f t="shared" si="99"/>
        <v>0</v>
      </c>
      <c r="Z554">
        <f t="shared" si="100"/>
        <v>0</v>
      </c>
      <c r="AA554" t="str">
        <f>INDEX('Priority activities'!$D$5:$D$86,MATCH('Database for analysis'!C554,'Priority activities'!$C$5:$C$86,0))</f>
        <v>n/a</v>
      </c>
    </row>
    <row r="555" spans="2:27" ht="16.5" thickTop="1" thickBot="1" x14ac:dyDescent="0.3">
      <c r="B555" t="s">
        <v>713</v>
      </c>
      <c r="C555" s="22" t="str">
        <f>'Costing inputs'!$C$289</f>
        <v>Contraceptives</v>
      </c>
      <c r="D555" s="22">
        <f>'Costing inputs'!$U$289</f>
        <v>0</v>
      </c>
      <c r="E555" s="22" t="str">
        <f>'Regional splits'!$K$14</f>
        <v>Southern</v>
      </c>
      <c r="F555" s="10">
        <v>0</v>
      </c>
      <c r="G555" s="10">
        <v>0</v>
      </c>
      <c r="H555" s="10">
        <v>0</v>
      </c>
      <c r="I555" s="10">
        <v>0</v>
      </c>
      <c r="J555" s="10">
        <v>0</v>
      </c>
      <c r="K555" s="10">
        <v>0</v>
      </c>
      <c r="L555" s="10">
        <v>0</v>
      </c>
      <c r="M555" s="10">
        <v>0</v>
      </c>
      <c r="N555" s="10">
        <v>0</v>
      </c>
      <c r="O555" s="10">
        <v>0</v>
      </c>
      <c r="P555" s="5">
        <f t="shared" si="90"/>
        <v>0</v>
      </c>
      <c r="Q555">
        <f t="shared" si="91"/>
        <v>0</v>
      </c>
      <c r="R555">
        <f t="shared" si="92"/>
        <v>0</v>
      </c>
      <c r="S555">
        <f t="shared" si="93"/>
        <v>0</v>
      </c>
      <c r="T555">
        <f t="shared" si="94"/>
        <v>0</v>
      </c>
      <c r="U555">
        <f t="shared" si="95"/>
        <v>0</v>
      </c>
      <c r="V555">
        <f t="shared" si="96"/>
        <v>0</v>
      </c>
      <c r="W555">
        <f t="shared" si="97"/>
        <v>0</v>
      </c>
      <c r="X555">
        <f t="shared" si="98"/>
        <v>0</v>
      </c>
      <c r="Y555">
        <f t="shared" si="99"/>
        <v>0</v>
      </c>
      <c r="Z555">
        <f t="shared" si="100"/>
        <v>0</v>
      </c>
      <c r="AA555" t="str">
        <f>INDEX('Priority activities'!$D$5:$D$86,MATCH('Database for analysis'!C555,'Priority activities'!$C$5:$C$86,0))</f>
        <v>n/a</v>
      </c>
    </row>
    <row r="556" spans="2:27" ht="16.5" thickTop="1" thickBot="1" x14ac:dyDescent="0.3">
      <c r="B556" t="s">
        <v>713</v>
      </c>
      <c r="C556" s="22" t="str">
        <f>'Costing inputs'!$C$289</f>
        <v>Contraceptives</v>
      </c>
      <c r="D556" s="22">
        <f>'Costing inputs'!$U$289</f>
        <v>0</v>
      </c>
      <c r="E556" s="22" t="str">
        <f>'Regional splits'!$L$14</f>
        <v>Western</v>
      </c>
      <c r="F556" s="10">
        <v>0</v>
      </c>
      <c r="G556" s="10">
        <v>0</v>
      </c>
      <c r="H556" s="10">
        <v>0</v>
      </c>
      <c r="I556" s="10">
        <v>0</v>
      </c>
      <c r="J556" s="10">
        <v>0</v>
      </c>
      <c r="K556" s="10">
        <v>0</v>
      </c>
      <c r="L556" s="10">
        <v>0</v>
      </c>
      <c r="M556" s="10">
        <v>0</v>
      </c>
      <c r="N556" s="10">
        <v>0</v>
      </c>
      <c r="O556" s="10">
        <v>0</v>
      </c>
      <c r="P556" s="5">
        <f t="shared" si="90"/>
        <v>0</v>
      </c>
      <c r="Q556">
        <f t="shared" si="91"/>
        <v>0</v>
      </c>
      <c r="R556">
        <f t="shared" si="92"/>
        <v>0</v>
      </c>
      <c r="S556">
        <f t="shared" si="93"/>
        <v>0</v>
      </c>
      <c r="T556">
        <f t="shared" si="94"/>
        <v>0</v>
      </c>
      <c r="U556">
        <f t="shared" si="95"/>
        <v>0</v>
      </c>
      <c r="V556">
        <f t="shared" si="96"/>
        <v>0</v>
      </c>
      <c r="W556">
        <f t="shared" si="97"/>
        <v>0</v>
      </c>
      <c r="X556">
        <f t="shared" si="98"/>
        <v>0</v>
      </c>
      <c r="Y556">
        <f t="shared" si="99"/>
        <v>0</v>
      </c>
      <c r="Z556">
        <f t="shared" si="100"/>
        <v>0</v>
      </c>
      <c r="AA556" t="str">
        <f>INDEX('Priority activities'!$D$5:$D$86,MATCH('Database for analysis'!C556,'Priority activities'!$C$5:$C$86,0))</f>
        <v>n/a</v>
      </c>
    </row>
    <row r="557" spans="2:27" ht="16.5" thickTop="1" thickBot="1" x14ac:dyDescent="0.3">
      <c r="B557" t="s">
        <v>713</v>
      </c>
      <c r="C557" s="22" t="str">
        <f>'Costing inputs'!$C$289</f>
        <v>Contraceptives</v>
      </c>
      <c r="D557" s="22">
        <f>'Costing inputs'!$U$289</f>
        <v>0</v>
      </c>
      <c r="E557" s="22">
        <f>'Regional splits'!$M$14</f>
        <v>0</v>
      </c>
      <c r="F557" s="10">
        <v>0</v>
      </c>
      <c r="G557" s="10">
        <v>0</v>
      </c>
      <c r="H557" s="10">
        <v>0</v>
      </c>
      <c r="I557" s="10">
        <v>0</v>
      </c>
      <c r="J557" s="10">
        <v>0</v>
      </c>
      <c r="K557" s="10">
        <v>0</v>
      </c>
      <c r="L557" s="10">
        <v>0</v>
      </c>
      <c r="M557" s="10">
        <v>0</v>
      </c>
      <c r="N557" s="10">
        <v>0</v>
      </c>
      <c r="O557" s="10">
        <v>0</v>
      </c>
      <c r="P557" s="5">
        <f t="shared" si="90"/>
        <v>0</v>
      </c>
      <c r="Q557">
        <f t="shared" si="91"/>
        <v>0</v>
      </c>
      <c r="R557">
        <f t="shared" si="92"/>
        <v>0</v>
      </c>
      <c r="S557">
        <f t="shared" si="93"/>
        <v>0</v>
      </c>
      <c r="T557">
        <f t="shared" si="94"/>
        <v>0</v>
      </c>
      <c r="U557">
        <f t="shared" si="95"/>
        <v>0</v>
      </c>
      <c r="V557">
        <f t="shared" si="96"/>
        <v>0</v>
      </c>
      <c r="W557">
        <f t="shared" si="97"/>
        <v>0</v>
      </c>
      <c r="X557">
        <f t="shared" si="98"/>
        <v>0</v>
      </c>
      <c r="Y557">
        <f t="shared" si="99"/>
        <v>0</v>
      </c>
      <c r="Z557">
        <f t="shared" si="100"/>
        <v>0</v>
      </c>
      <c r="AA557" t="str">
        <f>INDEX('Priority activities'!$D$5:$D$86,MATCH('Database for analysis'!C557,'Priority activities'!$C$5:$C$86,0))</f>
        <v>n/a</v>
      </c>
    </row>
    <row r="558" spans="2:27" ht="16.5" thickTop="1" thickBot="1" x14ac:dyDescent="0.3">
      <c r="B558" t="s">
        <v>713</v>
      </c>
      <c r="C558" s="22" t="str">
        <f>'Costing inputs'!$C$289</f>
        <v>Contraceptives</v>
      </c>
      <c r="D558" s="22">
        <f>'Costing inputs'!$U$289</f>
        <v>0</v>
      </c>
      <c r="E558" s="22">
        <f>'Regional splits'!$N$14</f>
        <v>0</v>
      </c>
      <c r="F558" s="10">
        <v>0</v>
      </c>
      <c r="G558" s="10">
        <v>0</v>
      </c>
      <c r="H558" s="10">
        <v>0</v>
      </c>
      <c r="I558" s="10">
        <v>0</v>
      </c>
      <c r="J558" s="10">
        <v>0</v>
      </c>
      <c r="K558" s="10">
        <v>0</v>
      </c>
      <c r="L558" s="10">
        <v>0</v>
      </c>
      <c r="M558" s="10">
        <v>0</v>
      </c>
      <c r="N558" s="10">
        <v>0</v>
      </c>
      <c r="O558" s="10">
        <v>0</v>
      </c>
      <c r="P558" s="5">
        <f t="shared" si="90"/>
        <v>0</v>
      </c>
      <c r="Q558">
        <f t="shared" si="91"/>
        <v>0</v>
      </c>
      <c r="R558">
        <f t="shared" si="92"/>
        <v>0</v>
      </c>
      <c r="S558">
        <f t="shared" si="93"/>
        <v>0</v>
      </c>
      <c r="T558">
        <f t="shared" si="94"/>
        <v>0</v>
      </c>
      <c r="U558">
        <f t="shared" si="95"/>
        <v>0</v>
      </c>
      <c r="V558">
        <f t="shared" si="96"/>
        <v>0</v>
      </c>
      <c r="W558">
        <f t="shared" si="97"/>
        <v>0</v>
      </c>
      <c r="X558">
        <f t="shared" si="98"/>
        <v>0</v>
      </c>
      <c r="Y558">
        <f t="shared" si="99"/>
        <v>0</v>
      </c>
      <c r="Z558">
        <f t="shared" si="100"/>
        <v>0</v>
      </c>
      <c r="AA558" t="str">
        <f>INDEX('Priority activities'!$D$5:$D$86,MATCH('Database for analysis'!C558,'Priority activities'!$C$5:$C$86,0))</f>
        <v>n/a</v>
      </c>
    </row>
    <row r="559" spans="2:27" ht="16.5" thickTop="1" thickBot="1" x14ac:dyDescent="0.3">
      <c r="B559" t="s">
        <v>713</v>
      </c>
      <c r="C559" s="22" t="str">
        <f>'Costing inputs'!$C$289</f>
        <v>Contraceptives</v>
      </c>
      <c r="D559" s="22">
        <f>'Costing inputs'!$U$289</f>
        <v>0</v>
      </c>
      <c r="E559" s="22">
        <f>'Regional splits'!$O$14</f>
        <v>0</v>
      </c>
      <c r="F559" s="10">
        <v>0</v>
      </c>
      <c r="G559" s="10">
        <v>0</v>
      </c>
      <c r="H559" s="10">
        <v>0</v>
      </c>
      <c r="I559" s="10">
        <v>0</v>
      </c>
      <c r="J559" s="10">
        <v>0</v>
      </c>
      <c r="K559" s="10">
        <v>0</v>
      </c>
      <c r="L559" s="10">
        <v>0</v>
      </c>
      <c r="M559" s="10">
        <v>0</v>
      </c>
      <c r="N559" s="10">
        <v>0</v>
      </c>
      <c r="O559" s="10">
        <v>0</v>
      </c>
      <c r="P559" s="5">
        <f t="shared" si="90"/>
        <v>0</v>
      </c>
      <c r="Q559">
        <f t="shared" si="91"/>
        <v>0</v>
      </c>
      <c r="R559">
        <f t="shared" si="92"/>
        <v>0</v>
      </c>
      <c r="S559">
        <f t="shared" si="93"/>
        <v>0</v>
      </c>
      <c r="T559">
        <f t="shared" si="94"/>
        <v>0</v>
      </c>
      <c r="U559">
        <f t="shared" si="95"/>
        <v>0</v>
      </c>
      <c r="V559">
        <f t="shared" si="96"/>
        <v>0</v>
      </c>
      <c r="W559">
        <f t="shared" si="97"/>
        <v>0</v>
      </c>
      <c r="X559">
        <f t="shared" si="98"/>
        <v>0</v>
      </c>
      <c r="Y559">
        <f t="shared" si="99"/>
        <v>0</v>
      </c>
      <c r="Z559">
        <f t="shared" si="100"/>
        <v>0</v>
      </c>
      <c r="AA559" t="str">
        <f>INDEX('Priority activities'!$D$5:$D$86,MATCH('Database for analysis'!C559,'Priority activities'!$C$5:$C$86,0))</f>
        <v>n/a</v>
      </c>
    </row>
    <row r="560" spans="2:27" ht="16.5" thickTop="1" thickBot="1" x14ac:dyDescent="0.3">
      <c r="B560" t="s">
        <v>713</v>
      </c>
      <c r="C560" s="22" t="str">
        <f>'Costing inputs'!$C$289</f>
        <v>Contraceptives</v>
      </c>
      <c r="D560" s="22">
        <f>'Costing inputs'!$U$289</f>
        <v>0</v>
      </c>
      <c r="E560" s="22">
        <f>'Regional splits'!$P$14</f>
        <v>0</v>
      </c>
      <c r="F560" s="10">
        <v>0</v>
      </c>
      <c r="G560" s="10">
        <v>0</v>
      </c>
      <c r="H560" s="10">
        <v>0</v>
      </c>
      <c r="I560" s="10">
        <v>0</v>
      </c>
      <c r="J560" s="10">
        <v>0</v>
      </c>
      <c r="K560" s="10">
        <v>0</v>
      </c>
      <c r="L560" s="10">
        <v>0</v>
      </c>
      <c r="M560" s="10">
        <v>0</v>
      </c>
      <c r="N560" s="10">
        <v>0</v>
      </c>
      <c r="O560" s="10">
        <v>0</v>
      </c>
      <c r="P560" s="5">
        <f t="shared" si="90"/>
        <v>0</v>
      </c>
      <c r="Q560">
        <f t="shared" si="91"/>
        <v>0</v>
      </c>
      <c r="R560">
        <f t="shared" si="92"/>
        <v>0</v>
      </c>
      <c r="S560">
        <f t="shared" si="93"/>
        <v>0</v>
      </c>
      <c r="T560">
        <f t="shared" si="94"/>
        <v>0</v>
      </c>
      <c r="U560">
        <f t="shared" si="95"/>
        <v>0</v>
      </c>
      <c r="V560">
        <f t="shared" si="96"/>
        <v>0</v>
      </c>
      <c r="W560">
        <f t="shared" si="97"/>
        <v>0</v>
      </c>
      <c r="X560">
        <f t="shared" si="98"/>
        <v>0</v>
      </c>
      <c r="Y560">
        <f t="shared" si="99"/>
        <v>0</v>
      </c>
      <c r="Z560">
        <f t="shared" si="100"/>
        <v>0</v>
      </c>
      <c r="AA560" t="str">
        <f>INDEX('Priority activities'!$D$5:$D$86,MATCH('Database for analysis'!C560,'Priority activities'!$C$5:$C$86,0))</f>
        <v>n/a</v>
      </c>
    </row>
    <row r="561" spans="2:27" ht="16.5" thickTop="1" thickBot="1" x14ac:dyDescent="0.3">
      <c r="B561" t="s">
        <v>713</v>
      </c>
      <c r="C561" s="22" t="str">
        <f>'Costing inputs'!$C$289</f>
        <v>Contraceptives</v>
      </c>
      <c r="D561" s="22">
        <f>'Costing inputs'!$U$289</f>
        <v>0</v>
      </c>
      <c r="E561" s="22">
        <f>'Regional splits'!$Q$14</f>
        <v>0</v>
      </c>
      <c r="F561" s="10">
        <v>0</v>
      </c>
      <c r="G561" s="10">
        <v>0</v>
      </c>
      <c r="H561" s="10">
        <v>0</v>
      </c>
      <c r="I561" s="10">
        <v>0</v>
      </c>
      <c r="J561" s="10">
        <v>0</v>
      </c>
      <c r="K561" s="10">
        <v>0</v>
      </c>
      <c r="L561" s="10">
        <v>0</v>
      </c>
      <c r="M561" s="10">
        <v>0</v>
      </c>
      <c r="N561" s="10">
        <v>0</v>
      </c>
      <c r="O561" s="10">
        <v>0</v>
      </c>
      <c r="P561" s="5">
        <f t="shared" si="90"/>
        <v>0</v>
      </c>
      <c r="Q561">
        <f t="shared" si="91"/>
        <v>0</v>
      </c>
      <c r="R561">
        <f t="shared" si="92"/>
        <v>0</v>
      </c>
      <c r="S561">
        <f t="shared" si="93"/>
        <v>0</v>
      </c>
      <c r="T561">
        <f t="shared" si="94"/>
        <v>0</v>
      </c>
      <c r="U561">
        <f t="shared" si="95"/>
        <v>0</v>
      </c>
      <c r="V561">
        <f t="shared" si="96"/>
        <v>0</v>
      </c>
      <c r="W561">
        <f t="shared" si="97"/>
        <v>0</v>
      </c>
      <c r="X561">
        <f t="shared" si="98"/>
        <v>0</v>
      </c>
      <c r="Y561">
        <f t="shared" si="99"/>
        <v>0</v>
      </c>
      <c r="Z561">
        <f t="shared" si="100"/>
        <v>0</v>
      </c>
      <c r="AA561" t="str">
        <f>INDEX('Priority activities'!$D$5:$D$86,MATCH('Database for analysis'!C561,'Priority activities'!$C$5:$C$86,0))</f>
        <v>n/a</v>
      </c>
    </row>
    <row r="562" spans="2:27" ht="16.5" thickTop="1" thickBot="1" x14ac:dyDescent="0.3">
      <c r="B562" t="s">
        <v>713</v>
      </c>
      <c r="C562" s="22" t="str">
        <f>'Costing inputs'!$C$289</f>
        <v>Contraceptives</v>
      </c>
      <c r="D562" s="22">
        <f>'Costing inputs'!$U$289</f>
        <v>0</v>
      </c>
      <c r="E562" s="22" t="str">
        <f>'Regional splits'!$R$14</f>
        <v>National-level</v>
      </c>
      <c r="F562" s="10">
        <f>'Method mix + objectives'!G120</f>
        <v>18463135.554460838</v>
      </c>
      <c r="G562" s="10">
        <f>'Method mix + objectives'!H120</f>
        <v>20055233.742716581</v>
      </c>
      <c r="H562" s="10">
        <f>'Method mix + objectives'!I120</f>
        <v>21716165.463640198</v>
      </c>
      <c r="I562" s="10">
        <f>'Method mix + objectives'!J120</f>
        <v>23448252.810759358</v>
      </c>
      <c r="J562" s="10">
        <f>'Method mix + objectives'!K120</f>
        <v>25253881.511841416</v>
      </c>
      <c r="K562" s="10">
        <f>'Method mix + objectives'!L120</f>
        <v>27135502.159846369</v>
      </c>
      <c r="L562" s="10">
        <f>'Method mix + objectives'!M120</f>
        <v>29095631.442657202</v>
      </c>
      <c r="M562" s="10">
        <f>'Method mix + objectives'!N120</f>
        <v>31136853.36977398</v>
      </c>
      <c r="N562" s="10" t="e">
        <f>'Method mix + objectives'!O120</f>
        <v>#N/A</v>
      </c>
      <c r="O562" s="10" t="e">
        <f>'Method mix + objectives'!P120</f>
        <v>#N/A</v>
      </c>
      <c r="P562" s="5">
        <f t="shared" si="90"/>
        <v>196304656.05569595</v>
      </c>
      <c r="Q562">
        <f t="shared" si="91"/>
        <v>18463135.554460838</v>
      </c>
      <c r="R562">
        <f t="shared" si="92"/>
        <v>20055233.742716581</v>
      </c>
      <c r="S562">
        <f t="shared" si="93"/>
        <v>21716165.463640198</v>
      </c>
      <c r="T562">
        <f t="shared" si="94"/>
        <v>23448252.810759358</v>
      </c>
      <c r="U562">
        <f t="shared" si="95"/>
        <v>25253881.511841416</v>
      </c>
      <c r="V562">
        <f t="shared" si="96"/>
        <v>27135502.159846369</v>
      </c>
      <c r="W562">
        <f t="shared" si="97"/>
        <v>29095631.442657202</v>
      </c>
      <c r="X562">
        <f t="shared" si="98"/>
        <v>31136853.36977398</v>
      </c>
      <c r="Y562">
        <f t="shared" si="99"/>
        <v>0</v>
      </c>
      <c r="Z562">
        <f t="shared" si="100"/>
        <v>0</v>
      </c>
      <c r="AA562" t="str">
        <f>INDEX('Priority activities'!$D$5:$D$86,MATCH('Database for analysis'!C562,'Priority activities'!$C$5:$C$86,0))</f>
        <v>n/a</v>
      </c>
    </row>
    <row r="563" spans="2:27" ht="16.5" thickTop="1" thickBot="1" x14ac:dyDescent="0.3">
      <c r="B563" t="s">
        <v>713</v>
      </c>
      <c r="C563" s="22" t="str">
        <f>'Costing inputs'!$C$303</f>
        <v>Consumables</v>
      </c>
      <c r="D563" s="22">
        <f>'Costing inputs'!$U$303</f>
        <v>0</v>
      </c>
      <c r="E563" s="22" t="str">
        <f>'Regional splits'!$C$14</f>
        <v>Central</v>
      </c>
      <c r="F563" s="10">
        <v>0</v>
      </c>
      <c r="G563" s="10">
        <v>0</v>
      </c>
      <c r="H563" s="10">
        <v>0</v>
      </c>
      <c r="I563" s="10">
        <v>0</v>
      </c>
      <c r="J563" s="10">
        <v>0</v>
      </c>
      <c r="K563" s="10">
        <v>0</v>
      </c>
      <c r="L563" s="10">
        <v>0</v>
      </c>
      <c r="M563" s="10">
        <v>0</v>
      </c>
      <c r="N563" s="10">
        <v>0</v>
      </c>
      <c r="O563" s="10">
        <v>0</v>
      </c>
      <c r="P563" s="5">
        <f t="shared" si="90"/>
        <v>0</v>
      </c>
      <c r="Q563">
        <f t="shared" si="91"/>
        <v>0</v>
      </c>
      <c r="R563">
        <f t="shared" si="92"/>
        <v>0</v>
      </c>
      <c r="S563">
        <f t="shared" si="93"/>
        <v>0</v>
      </c>
      <c r="T563">
        <f t="shared" si="94"/>
        <v>0</v>
      </c>
      <c r="U563">
        <f t="shared" si="95"/>
        <v>0</v>
      </c>
      <c r="V563">
        <f t="shared" si="96"/>
        <v>0</v>
      </c>
      <c r="W563">
        <f t="shared" si="97"/>
        <v>0</v>
      </c>
      <c r="X563">
        <f t="shared" si="98"/>
        <v>0</v>
      </c>
      <c r="Y563">
        <f t="shared" si="99"/>
        <v>0</v>
      </c>
      <c r="Z563">
        <f t="shared" si="100"/>
        <v>0</v>
      </c>
      <c r="AA563" t="str">
        <f>INDEX('Priority activities'!$D$5:$D$86,MATCH('Database for analysis'!C563,'Priority activities'!$C$5:$C$86,0))</f>
        <v>n/a</v>
      </c>
    </row>
    <row r="564" spans="2:27" ht="16.5" thickTop="1" thickBot="1" x14ac:dyDescent="0.3">
      <c r="B564" t="s">
        <v>713</v>
      </c>
      <c r="C564" s="22" t="str">
        <f>'Costing inputs'!$C$303</f>
        <v>Consumables</v>
      </c>
      <c r="D564" s="22">
        <f>'Costing inputs'!$U$303</f>
        <v>0</v>
      </c>
      <c r="E564" s="22" t="str">
        <f>'Regional splits'!$D$14</f>
        <v>Copperbelt</v>
      </c>
      <c r="F564" s="10">
        <v>0</v>
      </c>
      <c r="G564" s="10">
        <v>0</v>
      </c>
      <c r="H564" s="10">
        <v>0</v>
      </c>
      <c r="I564" s="10">
        <v>0</v>
      </c>
      <c r="J564" s="10">
        <v>0</v>
      </c>
      <c r="K564" s="10">
        <v>0</v>
      </c>
      <c r="L564" s="10">
        <v>0</v>
      </c>
      <c r="M564" s="10">
        <v>0</v>
      </c>
      <c r="N564" s="10">
        <v>0</v>
      </c>
      <c r="O564" s="10">
        <v>0</v>
      </c>
      <c r="P564" s="5">
        <f t="shared" si="90"/>
        <v>0</v>
      </c>
      <c r="Q564">
        <f t="shared" si="91"/>
        <v>0</v>
      </c>
      <c r="R564">
        <f t="shared" si="92"/>
        <v>0</v>
      </c>
      <c r="S564">
        <f t="shared" si="93"/>
        <v>0</v>
      </c>
      <c r="T564">
        <f t="shared" si="94"/>
        <v>0</v>
      </c>
      <c r="U564">
        <f t="shared" si="95"/>
        <v>0</v>
      </c>
      <c r="V564">
        <f t="shared" si="96"/>
        <v>0</v>
      </c>
      <c r="W564">
        <f t="shared" si="97"/>
        <v>0</v>
      </c>
      <c r="X564">
        <f t="shared" si="98"/>
        <v>0</v>
      </c>
      <c r="Y564">
        <f t="shared" si="99"/>
        <v>0</v>
      </c>
      <c r="Z564">
        <f t="shared" si="100"/>
        <v>0</v>
      </c>
      <c r="AA564" t="str">
        <f>INDEX('Priority activities'!$D$5:$D$86,MATCH('Database for analysis'!C564,'Priority activities'!$C$5:$C$86,0))</f>
        <v>n/a</v>
      </c>
    </row>
    <row r="565" spans="2:27" ht="16.5" thickTop="1" thickBot="1" x14ac:dyDescent="0.3">
      <c r="B565" t="s">
        <v>713</v>
      </c>
      <c r="C565" s="22" t="str">
        <f>'Costing inputs'!$C$303</f>
        <v>Consumables</v>
      </c>
      <c r="D565" s="22">
        <f>'Costing inputs'!$U$303</f>
        <v>0</v>
      </c>
      <c r="E565" s="22" t="str">
        <f>'Regional splits'!$E$14</f>
        <v>Eastern</v>
      </c>
      <c r="F565" s="10">
        <v>0</v>
      </c>
      <c r="G565" s="10">
        <v>0</v>
      </c>
      <c r="H565" s="10">
        <v>0</v>
      </c>
      <c r="I565" s="10">
        <v>0</v>
      </c>
      <c r="J565" s="10">
        <v>0</v>
      </c>
      <c r="K565" s="10">
        <v>0</v>
      </c>
      <c r="L565" s="10">
        <v>0</v>
      </c>
      <c r="M565" s="10">
        <v>0</v>
      </c>
      <c r="N565" s="10">
        <v>0</v>
      </c>
      <c r="O565" s="10">
        <v>0</v>
      </c>
      <c r="P565" s="5">
        <f t="shared" si="90"/>
        <v>0</v>
      </c>
      <c r="Q565">
        <f t="shared" si="91"/>
        <v>0</v>
      </c>
      <c r="R565">
        <f t="shared" si="92"/>
        <v>0</v>
      </c>
      <c r="S565">
        <f t="shared" si="93"/>
        <v>0</v>
      </c>
      <c r="T565">
        <f t="shared" si="94"/>
        <v>0</v>
      </c>
      <c r="U565">
        <f t="shared" si="95"/>
        <v>0</v>
      </c>
      <c r="V565">
        <f t="shared" si="96"/>
        <v>0</v>
      </c>
      <c r="W565">
        <f t="shared" si="97"/>
        <v>0</v>
      </c>
      <c r="X565">
        <f t="shared" si="98"/>
        <v>0</v>
      </c>
      <c r="Y565">
        <f t="shared" si="99"/>
        <v>0</v>
      </c>
      <c r="Z565">
        <f t="shared" si="100"/>
        <v>0</v>
      </c>
      <c r="AA565" t="str">
        <f>INDEX('Priority activities'!$D$5:$D$86,MATCH('Database for analysis'!C565,'Priority activities'!$C$5:$C$86,0))</f>
        <v>n/a</v>
      </c>
    </row>
    <row r="566" spans="2:27" ht="16.5" thickTop="1" thickBot="1" x14ac:dyDescent="0.3">
      <c r="B566" t="s">
        <v>713</v>
      </c>
      <c r="C566" s="22" t="str">
        <f>'Costing inputs'!$C$303</f>
        <v>Consumables</v>
      </c>
      <c r="D566" s="22">
        <f>'Costing inputs'!$U$303</f>
        <v>0</v>
      </c>
      <c r="E566" s="22" t="str">
        <f>'Regional splits'!$F$14</f>
        <v>Luapula</v>
      </c>
      <c r="F566" s="10">
        <v>0</v>
      </c>
      <c r="G566" s="10">
        <v>0</v>
      </c>
      <c r="H566" s="10">
        <v>0</v>
      </c>
      <c r="I566" s="10">
        <v>0</v>
      </c>
      <c r="J566" s="10">
        <v>0</v>
      </c>
      <c r="K566" s="10">
        <v>0</v>
      </c>
      <c r="L566" s="10">
        <v>0</v>
      </c>
      <c r="M566" s="10">
        <v>0</v>
      </c>
      <c r="N566" s="10">
        <v>0</v>
      </c>
      <c r="O566" s="10">
        <v>0</v>
      </c>
      <c r="P566" s="5">
        <f t="shared" si="90"/>
        <v>0</v>
      </c>
      <c r="Q566">
        <f t="shared" si="91"/>
        <v>0</v>
      </c>
      <c r="R566">
        <f t="shared" si="92"/>
        <v>0</v>
      </c>
      <c r="S566">
        <f t="shared" si="93"/>
        <v>0</v>
      </c>
      <c r="T566">
        <f t="shared" si="94"/>
        <v>0</v>
      </c>
      <c r="U566">
        <f t="shared" si="95"/>
        <v>0</v>
      </c>
      <c r="V566">
        <f t="shared" si="96"/>
        <v>0</v>
      </c>
      <c r="W566">
        <f t="shared" si="97"/>
        <v>0</v>
      </c>
      <c r="X566">
        <f t="shared" si="98"/>
        <v>0</v>
      </c>
      <c r="Y566">
        <f t="shared" si="99"/>
        <v>0</v>
      </c>
      <c r="Z566">
        <f t="shared" si="100"/>
        <v>0</v>
      </c>
      <c r="AA566" t="str">
        <f>INDEX('Priority activities'!$D$5:$D$86,MATCH('Database for analysis'!C566,'Priority activities'!$C$5:$C$86,0))</f>
        <v>n/a</v>
      </c>
    </row>
    <row r="567" spans="2:27" ht="16.5" thickTop="1" thickBot="1" x14ac:dyDescent="0.3">
      <c r="B567" t="s">
        <v>713</v>
      </c>
      <c r="C567" s="22" t="str">
        <f>'Costing inputs'!$C$303</f>
        <v>Consumables</v>
      </c>
      <c r="D567" s="22">
        <f>'Costing inputs'!$U$303</f>
        <v>0</v>
      </c>
      <c r="E567" s="22" t="str">
        <f>'Regional splits'!$G$14</f>
        <v>Lusaka</v>
      </c>
      <c r="F567" s="10">
        <v>0</v>
      </c>
      <c r="G567" s="10">
        <v>0</v>
      </c>
      <c r="H567" s="10">
        <v>0</v>
      </c>
      <c r="I567" s="10">
        <v>0</v>
      </c>
      <c r="J567" s="10">
        <v>0</v>
      </c>
      <c r="K567" s="10">
        <v>0</v>
      </c>
      <c r="L567" s="10">
        <v>0</v>
      </c>
      <c r="M567" s="10">
        <v>0</v>
      </c>
      <c r="N567" s="10">
        <v>0</v>
      </c>
      <c r="O567" s="10">
        <v>0</v>
      </c>
      <c r="P567" s="5">
        <f t="shared" si="90"/>
        <v>0</v>
      </c>
      <c r="Q567">
        <f t="shared" si="91"/>
        <v>0</v>
      </c>
      <c r="R567">
        <f t="shared" si="92"/>
        <v>0</v>
      </c>
      <c r="S567">
        <f t="shared" si="93"/>
        <v>0</v>
      </c>
      <c r="T567">
        <f t="shared" si="94"/>
        <v>0</v>
      </c>
      <c r="U567">
        <f t="shared" si="95"/>
        <v>0</v>
      </c>
      <c r="V567">
        <f t="shared" si="96"/>
        <v>0</v>
      </c>
      <c r="W567">
        <f t="shared" si="97"/>
        <v>0</v>
      </c>
      <c r="X567">
        <f t="shared" si="98"/>
        <v>0</v>
      </c>
      <c r="Y567">
        <f t="shared" si="99"/>
        <v>0</v>
      </c>
      <c r="Z567">
        <f t="shared" si="100"/>
        <v>0</v>
      </c>
      <c r="AA567" t="str">
        <f>INDEX('Priority activities'!$D$5:$D$86,MATCH('Database for analysis'!C567,'Priority activities'!$C$5:$C$86,0))</f>
        <v>n/a</v>
      </c>
    </row>
    <row r="568" spans="2:27" ht="16.5" thickTop="1" thickBot="1" x14ac:dyDescent="0.3">
      <c r="B568" t="s">
        <v>713</v>
      </c>
      <c r="C568" s="22" t="str">
        <f>'Costing inputs'!$C$303</f>
        <v>Consumables</v>
      </c>
      <c r="D568" s="22">
        <f>'Costing inputs'!$U$303</f>
        <v>0</v>
      </c>
      <c r="E568" s="22" t="str">
        <f>'Regional splits'!$H$14</f>
        <v>Muchinga</v>
      </c>
      <c r="F568" s="10">
        <v>0</v>
      </c>
      <c r="G568" s="10">
        <v>0</v>
      </c>
      <c r="H568" s="10">
        <v>0</v>
      </c>
      <c r="I568" s="10">
        <v>0</v>
      </c>
      <c r="J568" s="10">
        <v>0</v>
      </c>
      <c r="K568" s="10">
        <v>0</v>
      </c>
      <c r="L568" s="10">
        <v>0</v>
      </c>
      <c r="M568" s="10">
        <v>0</v>
      </c>
      <c r="N568" s="10">
        <v>0</v>
      </c>
      <c r="O568" s="10">
        <v>0</v>
      </c>
      <c r="P568" s="5">
        <f t="shared" si="90"/>
        <v>0</v>
      </c>
      <c r="Q568">
        <f t="shared" si="91"/>
        <v>0</v>
      </c>
      <c r="R568">
        <f t="shared" si="92"/>
        <v>0</v>
      </c>
      <c r="S568">
        <f t="shared" si="93"/>
        <v>0</v>
      </c>
      <c r="T568">
        <f t="shared" si="94"/>
        <v>0</v>
      </c>
      <c r="U568">
        <f t="shared" si="95"/>
        <v>0</v>
      </c>
      <c r="V568">
        <f t="shared" si="96"/>
        <v>0</v>
      </c>
      <c r="W568">
        <f t="shared" si="97"/>
        <v>0</v>
      </c>
      <c r="X568">
        <f t="shared" si="98"/>
        <v>0</v>
      </c>
      <c r="Y568">
        <f t="shared" si="99"/>
        <v>0</v>
      </c>
      <c r="Z568">
        <f t="shared" si="100"/>
        <v>0</v>
      </c>
      <c r="AA568" t="str">
        <f>INDEX('Priority activities'!$D$5:$D$86,MATCH('Database for analysis'!C568,'Priority activities'!$C$5:$C$86,0))</f>
        <v>n/a</v>
      </c>
    </row>
    <row r="569" spans="2:27" ht="16.5" thickTop="1" thickBot="1" x14ac:dyDescent="0.3">
      <c r="B569" t="s">
        <v>713</v>
      </c>
      <c r="C569" s="22" t="str">
        <f>'Costing inputs'!$C$303</f>
        <v>Consumables</v>
      </c>
      <c r="D569" s="22">
        <f>'Costing inputs'!$U$303</f>
        <v>0</v>
      </c>
      <c r="E569" s="22" t="str">
        <f>'Regional splits'!$I$14</f>
        <v>Northern</v>
      </c>
      <c r="F569" s="10">
        <v>0</v>
      </c>
      <c r="G569" s="10">
        <v>0</v>
      </c>
      <c r="H569" s="10">
        <v>0</v>
      </c>
      <c r="I569" s="10">
        <v>0</v>
      </c>
      <c r="J569" s="10">
        <v>0</v>
      </c>
      <c r="K569" s="10">
        <v>0</v>
      </c>
      <c r="L569" s="10">
        <v>0</v>
      </c>
      <c r="M569" s="10">
        <v>0</v>
      </c>
      <c r="N569" s="10">
        <v>0</v>
      </c>
      <c r="O569" s="10">
        <v>0</v>
      </c>
      <c r="P569" s="5">
        <f t="shared" si="90"/>
        <v>0</v>
      </c>
      <c r="Q569">
        <f t="shared" si="91"/>
        <v>0</v>
      </c>
      <c r="R569">
        <f t="shared" si="92"/>
        <v>0</v>
      </c>
      <c r="S569">
        <f t="shared" si="93"/>
        <v>0</v>
      </c>
      <c r="T569">
        <f t="shared" si="94"/>
        <v>0</v>
      </c>
      <c r="U569">
        <f t="shared" si="95"/>
        <v>0</v>
      </c>
      <c r="V569">
        <f t="shared" si="96"/>
        <v>0</v>
      </c>
      <c r="W569">
        <f t="shared" si="97"/>
        <v>0</v>
      </c>
      <c r="X569">
        <f t="shared" si="98"/>
        <v>0</v>
      </c>
      <c r="Y569">
        <f t="shared" si="99"/>
        <v>0</v>
      </c>
      <c r="Z569">
        <f t="shared" si="100"/>
        <v>0</v>
      </c>
      <c r="AA569" t="str">
        <f>INDEX('Priority activities'!$D$5:$D$86,MATCH('Database for analysis'!C569,'Priority activities'!$C$5:$C$86,0))</f>
        <v>n/a</v>
      </c>
    </row>
    <row r="570" spans="2:27" ht="16.5" thickTop="1" thickBot="1" x14ac:dyDescent="0.3">
      <c r="B570" t="s">
        <v>713</v>
      </c>
      <c r="C570" s="22" t="str">
        <f>'Costing inputs'!$C$303</f>
        <v>Consumables</v>
      </c>
      <c r="D570" s="22">
        <f>'Costing inputs'!$U$303</f>
        <v>0</v>
      </c>
      <c r="E570" s="22" t="str">
        <f>'Regional splits'!$J$14</f>
        <v>North Western</v>
      </c>
      <c r="F570" s="10">
        <v>0</v>
      </c>
      <c r="G570" s="10">
        <v>0</v>
      </c>
      <c r="H570" s="10">
        <v>0</v>
      </c>
      <c r="I570" s="10">
        <v>0</v>
      </c>
      <c r="J570" s="10">
        <v>0</v>
      </c>
      <c r="K570" s="10">
        <v>0</v>
      </c>
      <c r="L570" s="10">
        <v>0</v>
      </c>
      <c r="M570" s="10">
        <v>0</v>
      </c>
      <c r="N570" s="10">
        <v>0</v>
      </c>
      <c r="O570" s="10">
        <v>0</v>
      </c>
      <c r="P570" s="5">
        <f t="shared" si="90"/>
        <v>0</v>
      </c>
      <c r="Q570">
        <f t="shared" si="91"/>
        <v>0</v>
      </c>
      <c r="R570">
        <f t="shared" si="92"/>
        <v>0</v>
      </c>
      <c r="S570">
        <f t="shared" si="93"/>
        <v>0</v>
      </c>
      <c r="T570">
        <f t="shared" si="94"/>
        <v>0</v>
      </c>
      <c r="U570">
        <f t="shared" si="95"/>
        <v>0</v>
      </c>
      <c r="V570">
        <f t="shared" si="96"/>
        <v>0</v>
      </c>
      <c r="W570">
        <f t="shared" si="97"/>
        <v>0</v>
      </c>
      <c r="X570">
        <f t="shared" si="98"/>
        <v>0</v>
      </c>
      <c r="Y570">
        <f t="shared" si="99"/>
        <v>0</v>
      </c>
      <c r="Z570">
        <f t="shared" si="100"/>
        <v>0</v>
      </c>
      <c r="AA570" t="str">
        <f>INDEX('Priority activities'!$D$5:$D$86,MATCH('Database for analysis'!C570,'Priority activities'!$C$5:$C$86,0))</f>
        <v>n/a</v>
      </c>
    </row>
    <row r="571" spans="2:27" ht="16.5" thickTop="1" thickBot="1" x14ac:dyDescent="0.3">
      <c r="B571" t="s">
        <v>713</v>
      </c>
      <c r="C571" s="22" t="str">
        <f>'Costing inputs'!$C$303</f>
        <v>Consumables</v>
      </c>
      <c r="D571" s="22">
        <f>'Costing inputs'!$U$303</f>
        <v>0</v>
      </c>
      <c r="E571" s="22" t="str">
        <f>'Regional splits'!$K$14</f>
        <v>Southern</v>
      </c>
      <c r="F571" s="10">
        <v>0</v>
      </c>
      <c r="G571" s="10">
        <v>0</v>
      </c>
      <c r="H571" s="10">
        <v>0</v>
      </c>
      <c r="I571" s="10">
        <v>0</v>
      </c>
      <c r="J571" s="10">
        <v>0</v>
      </c>
      <c r="K571" s="10">
        <v>0</v>
      </c>
      <c r="L571" s="10">
        <v>0</v>
      </c>
      <c r="M571" s="10">
        <v>0</v>
      </c>
      <c r="N571" s="10">
        <v>0</v>
      </c>
      <c r="O571" s="10">
        <v>0</v>
      </c>
      <c r="P571" s="5">
        <f t="shared" si="90"/>
        <v>0</v>
      </c>
      <c r="Q571">
        <f t="shared" si="91"/>
        <v>0</v>
      </c>
      <c r="R571">
        <f t="shared" si="92"/>
        <v>0</v>
      </c>
      <c r="S571">
        <f t="shared" si="93"/>
        <v>0</v>
      </c>
      <c r="T571">
        <f t="shared" si="94"/>
        <v>0</v>
      </c>
      <c r="U571">
        <f t="shared" si="95"/>
        <v>0</v>
      </c>
      <c r="V571">
        <f t="shared" si="96"/>
        <v>0</v>
      </c>
      <c r="W571">
        <f t="shared" si="97"/>
        <v>0</v>
      </c>
      <c r="X571">
        <f t="shared" si="98"/>
        <v>0</v>
      </c>
      <c r="Y571">
        <f t="shared" si="99"/>
        <v>0</v>
      </c>
      <c r="Z571">
        <f t="shared" si="100"/>
        <v>0</v>
      </c>
      <c r="AA571" t="str">
        <f>INDEX('Priority activities'!$D$5:$D$86,MATCH('Database for analysis'!C571,'Priority activities'!$C$5:$C$86,0))</f>
        <v>n/a</v>
      </c>
    </row>
    <row r="572" spans="2:27" ht="16.5" thickTop="1" thickBot="1" x14ac:dyDescent="0.3">
      <c r="B572" t="s">
        <v>713</v>
      </c>
      <c r="C572" s="22" t="str">
        <f>'Costing inputs'!$C$303</f>
        <v>Consumables</v>
      </c>
      <c r="D572" s="22">
        <f>'Costing inputs'!$U$303</f>
        <v>0</v>
      </c>
      <c r="E572" s="22" t="str">
        <f>'Regional splits'!$L$14</f>
        <v>Western</v>
      </c>
      <c r="F572" s="10">
        <v>0</v>
      </c>
      <c r="G572" s="10">
        <v>0</v>
      </c>
      <c r="H572" s="10">
        <v>0</v>
      </c>
      <c r="I572" s="10">
        <v>0</v>
      </c>
      <c r="J572" s="10">
        <v>0</v>
      </c>
      <c r="K572" s="10">
        <v>0</v>
      </c>
      <c r="L572" s="10">
        <v>0</v>
      </c>
      <c r="M572" s="10">
        <v>0</v>
      </c>
      <c r="N572" s="10">
        <v>0</v>
      </c>
      <c r="O572" s="10">
        <v>0</v>
      </c>
      <c r="P572" s="5">
        <f t="shared" si="90"/>
        <v>0</v>
      </c>
      <c r="Q572">
        <f t="shared" si="91"/>
        <v>0</v>
      </c>
      <c r="R572">
        <f t="shared" si="92"/>
        <v>0</v>
      </c>
      <c r="S572">
        <f t="shared" si="93"/>
        <v>0</v>
      </c>
      <c r="T572">
        <f t="shared" si="94"/>
        <v>0</v>
      </c>
      <c r="U572">
        <f t="shared" si="95"/>
        <v>0</v>
      </c>
      <c r="V572">
        <f t="shared" si="96"/>
        <v>0</v>
      </c>
      <c r="W572">
        <f t="shared" si="97"/>
        <v>0</v>
      </c>
      <c r="X572">
        <f t="shared" si="98"/>
        <v>0</v>
      </c>
      <c r="Y572">
        <f t="shared" si="99"/>
        <v>0</v>
      </c>
      <c r="Z572">
        <f t="shared" si="100"/>
        <v>0</v>
      </c>
      <c r="AA572" t="str">
        <f>INDEX('Priority activities'!$D$5:$D$86,MATCH('Database for analysis'!C572,'Priority activities'!$C$5:$C$86,0))</f>
        <v>n/a</v>
      </c>
    </row>
    <row r="573" spans="2:27" ht="16.5" thickTop="1" thickBot="1" x14ac:dyDescent="0.3">
      <c r="B573" t="s">
        <v>713</v>
      </c>
      <c r="C573" s="22" t="str">
        <f>'Costing inputs'!$C$303</f>
        <v>Consumables</v>
      </c>
      <c r="D573" s="22">
        <f>'Costing inputs'!$U$303</f>
        <v>0</v>
      </c>
      <c r="E573" s="22">
        <f>'Regional splits'!$M$14</f>
        <v>0</v>
      </c>
      <c r="F573" s="10">
        <v>0</v>
      </c>
      <c r="G573" s="10">
        <v>0</v>
      </c>
      <c r="H573" s="10">
        <v>0</v>
      </c>
      <c r="I573" s="10">
        <v>0</v>
      </c>
      <c r="J573" s="10">
        <v>0</v>
      </c>
      <c r="K573" s="10">
        <v>0</v>
      </c>
      <c r="L573" s="10">
        <v>0</v>
      </c>
      <c r="M573" s="10">
        <v>0</v>
      </c>
      <c r="N573" s="10">
        <v>0</v>
      </c>
      <c r="O573" s="10">
        <v>0</v>
      </c>
      <c r="P573" s="5">
        <f t="shared" si="90"/>
        <v>0</v>
      </c>
      <c r="Q573">
        <f t="shared" si="91"/>
        <v>0</v>
      </c>
      <c r="R573">
        <f t="shared" si="92"/>
        <v>0</v>
      </c>
      <c r="S573">
        <f t="shared" si="93"/>
        <v>0</v>
      </c>
      <c r="T573">
        <f t="shared" si="94"/>
        <v>0</v>
      </c>
      <c r="U573">
        <f t="shared" si="95"/>
        <v>0</v>
      </c>
      <c r="V573">
        <f t="shared" si="96"/>
        <v>0</v>
      </c>
      <c r="W573">
        <f t="shared" si="97"/>
        <v>0</v>
      </c>
      <c r="X573">
        <f t="shared" si="98"/>
        <v>0</v>
      </c>
      <c r="Y573">
        <f t="shared" si="99"/>
        <v>0</v>
      </c>
      <c r="Z573">
        <f t="shared" si="100"/>
        <v>0</v>
      </c>
      <c r="AA573" t="str">
        <f>INDEX('Priority activities'!$D$5:$D$86,MATCH('Database for analysis'!C573,'Priority activities'!$C$5:$C$86,0))</f>
        <v>n/a</v>
      </c>
    </row>
    <row r="574" spans="2:27" ht="16.5" thickTop="1" thickBot="1" x14ac:dyDescent="0.3">
      <c r="B574" t="s">
        <v>713</v>
      </c>
      <c r="C574" s="22" t="str">
        <f>'Costing inputs'!$C$303</f>
        <v>Consumables</v>
      </c>
      <c r="D574" s="22">
        <f>'Costing inputs'!$U$303</f>
        <v>0</v>
      </c>
      <c r="E574" s="22">
        <f>'Regional splits'!$N$14</f>
        <v>0</v>
      </c>
      <c r="F574" s="10">
        <v>0</v>
      </c>
      <c r="G574" s="10">
        <v>0</v>
      </c>
      <c r="H574" s="10">
        <v>0</v>
      </c>
      <c r="I574" s="10">
        <v>0</v>
      </c>
      <c r="J574" s="10">
        <v>0</v>
      </c>
      <c r="K574" s="10">
        <v>0</v>
      </c>
      <c r="L574" s="10">
        <v>0</v>
      </c>
      <c r="M574" s="10">
        <v>0</v>
      </c>
      <c r="N574" s="10">
        <v>0</v>
      </c>
      <c r="O574" s="10">
        <v>0</v>
      </c>
      <c r="P574" s="5">
        <f t="shared" si="90"/>
        <v>0</v>
      </c>
      <c r="Q574">
        <f t="shared" si="91"/>
        <v>0</v>
      </c>
      <c r="R574">
        <f t="shared" si="92"/>
        <v>0</v>
      </c>
      <c r="S574">
        <f t="shared" si="93"/>
        <v>0</v>
      </c>
      <c r="T574">
        <f t="shared" si="94"/>
        <v>0</v>
      </c>
      <c r="U574">
        <f t="shared" si="95"/>
        <v>0</v>
      </c>
      <c r="V574">
        <f t="shared" si="96"/>
        <v>0</v>
      </c>
      <c r="W574">
        <f t="shared" si="97"/>
        <v>0</v>
      </c>
      <c r="X574">
        <f t="shared" si="98"/>
        <v>0</v>
      </c>
      <c r="Y574">
        <f t="shared" si="99"/>
        <v>0</v>
      </c>
      <c r="Z574">
        <f t="shared" si="100"/>
        <v>0</v>
      </c>
      <c r="AA574" t="str">
        <f>INDEX('Priority activities'!$D$5:$D$86,MATCH('Database for analysis'!C574,'Priority activities'!$C$5:$C$86,0))</f>
        <v>n/a</v>
      </c>
    </row>
    <row r="575" spans="2:27" ht="16.5" thickTop="1" thickBot="1" x14ac:dyDescent="0.3">
      <c r="B575" t="s">
        <v>713</v>
      </c>
      <c r="C575" s="22" t="str">
        <f>'Costing inputs'!$C$303</f>
        <v>Consumables</v>
      </c>
      <c r="D575" s="22">
        <f>'Costing inputs'!$U$303</f>
        <v>0</v>
      </c>
      <c r="E575" s="22">
        <f>'Regional splits'!$O$14</f>
        <v>0</v>
      </c>
      <c r="F575" s="10">
        <v>0</v>
      </c>
      <c r="G575" s="10">
        <v>0</v>
      </c>
      <c r="H575" s="10">
        <v>0</v>
      </c>
      <c r="I575" s="10">
        <v>0</v>
      </c>
      <c r="J575" s="10">
        <v>0</v>
      </c>
      <c r="K575" s="10">
        <v>0</v>
      </c>
      <c r="L575" s="10">
        <v>0</v>
      </c>
      <c r="M575" s="10">
        <v>0</v>
      </c>
      <c r="N575" s="10">
        <v>0</v>
      </c>
      <c r="O575" s="10">
        <v>0</v>
      </c>
      <c r="P575" s="5">
        <f t="shared" si="90"/>
        <v>0</v>
      </c>
      <c r="Q575">
        <f t="shared" si="91"/>
        <v>0</v>
      </c>
      <c r="R575">
        <f t="shared" si="92"/>
        <v>0</v>
      </c>
      <c r="S575">
        <f t="shared" si="93"/>
        <v>0</v>
      </c>
      <c r="T575">
        <f t="shared" si="94"/>
        <v>0</v>
      </c>
      <c r="U575">
        <f t="shared" si="95"/>
        <v>0</v>
      </c>
      <c r="V575">
        <f t="shared" si="96"/>
        <v>0</v>
      </c>
      <c r="W575">
        <f t="shared" si="97"/>
        <v>0</v>
      </c>
      <c r="X575">
        <f t="shared" si="98"/>
        <v>0</v>
      </c>
      <c r="Y575">
        <f t="shared" si="99"/>
        <v>0</v>
      </c>
      <c r="Z575">
        <f t="shared" si="100"/>
        <v>0</v>
      </c>
      <c r="AA575" t="str">
        <f>INDEX('Priority activities'!$D$5:$D$86,MATCH('Database for analysis'!C575,'Priority activities'!$C$5:$C$86,0))</f>
        <v>n/a</v>
      </c>
    </row>
    <row r="576" spans="2:27" ht="16.5" thickTop="1" thickBot="1" x14ac:dyDescent="0.3">
      <c r="B576" t="s">
        <v>713</v>
      </c>
      <c r="C576" s="22" t="str">
        <f>'Costing inputs'!$C$303</f>
        <v>Consumables</v>
      </c>
      <c r="D576" s="22">
        <f>'Costing inputs'!$U$303</f>
        <v>0</v>
      </c>
      <c r="E576" s="22">
        <f>'Regional splits'!$P$14</f>
        <v>0</v>
      </c>
      <c r="F576" s="10">
        <v>0</v>
      </c>
      <c r="G576" s="10">
        <v>0</v>
      </c>
      <c r="H576" s="10">
        <v>0</v>
      </c>
      <c r="I576" s="10">
        <v>0</v>
      </c>
      <c r="J576" s="10">
        <v>0</v>
      </c>
      <c r="K576" s="10">
        <v>0</v>
      </c>
      <c r="L576" s="10">
        <v>0</v>
      </c>
      <c r="M576" s="10">
        <v>0</v>
      </c>
      <c r="N576" s="10">
        <v>0</v>
      </c>
      <c r="O576" s="10">
        <v>0</v>
      </c>
      <c r="P576" s="5">
        <f t="shared" si="90"/>
        <v>0</v>
      </c>
      <c r="Q576">
        <f t="shared" si="91"/>
        <v>0</v>
      </c>
      <c r="R576">
        <f t="shared" si="92"/>
        <v>0</v>
      </c>
      <c r="S576">
        <f t="shared" si="93"/>
        <v>0</v>
      </c>
      <c r="T576">
        <f t="shared" si="94"/>
        <v>0</v>
      </c>
      <c r="U576">
        <f t="shared" si="95"/>
        <v>0</v>
      </c>
      <c r="V576">
        <f t="shared" si="96"/>
        <v>0</v>
      </c>
      <c r="W576">
        <f t="shared" si="97"/>
        <v>0</v>
      </c>
      <c r="X576">
        <f t="shared" si="98"/>
        <v>0</v>
      </c>
      <c r="Y576">
        <f t="shared" si="99"/>
        <v>0</v>
      </c>
      <c r="Z576">
        <f t="shared" si="100"/>
        <v>0</v>
      </c>
      <c r="AA576" t="str">
        <f>INDEX('Priority activities'!$D$5:$D$86,MATCH('Database for analysis'!C576,'Priority activities'!$C$5:$C$86,0))</f>
        <v>n/a</v>
      </c>
    </row>
    <row r="577" spans="2:27" ht="16.5" thickTop="1" thickBot="1" x14ac:dyDescent="0.3">
      <c r="B577" t="s">
        <v>713</v>
      </c>
      <c r="C577" s="22" t="str">
        <f>'Costing inputs'!$C$303</f>
        <v>Consumables</v>
      </c>
      <c r="D577" s="22">
        <f>'Costing inputs'!$U$303</f>
        <v>0</v>
      </c>
      <c r="E577" s="22">
        <f>'Regional splits'!$Q$14</f>
        <v>0</v>
      </c>
      <c r="F577" s="10">
        <v>0</v>
      </c>
      <c r="G577" s="10">
        <v>0</v>
      </c>
      <c r="H577" s="10">
        <v>0</v>
      </c>
      <c r="I577" s="10">
        <v>0</v>
      </c>
      <c r="J577" s="10">
        <v>0</v>
      </c>
      <c r="K577" s="10">
        <v>0</v>
      </c>
      <c r="L577" s="10">
        <v>0</v>
      </c>
      <c r="M577" s="10">
        <v>0</v>
      </c>
      <c r="N577" s="10">
        <v>0</v>
      </c>
      <c r="O577" s="10">
        <v>0</v>
      </c>
      <c r="P577" s="5">
        <f t="shared" si="90"/>
        <v>0</v>
      </c>
      <c r="Q577">
        <f t="shared" si="91"/>
        <v>0</v>
      </c>
      <c r="R577">
        <f t="shared" si="92"/>
        <v>0</v>
      </c>
      <c r="S577">
        <f t="shared" si="93"/>
        <v>0</v>
      </c>
      <c r="T577">
        <f t="shared" si="94"/>
        <v>0</v>
      </c>
      <c r="U577">
        <f t="shared" si="95"/>
        <v>0</v>
      </c>
      <c r="V577">
        <f t="shared" si="96"/>
        <v>0</v>
      </c>
      <c r="W577">
        <f t="shared" si="97"/>
        <v>0</v>
      </c>
      <c r="X577">
        <f t="shared" si="98"/>
        <v>0</v>
      </c>
      <c r="Y577">
        <f t="shared" si="99"/>
        <v>0</v>
      </c>
      <c r="Z577">
        <f t="shared" si="100"/>
        <v>0</v>
      </c>
      <c r="AA577" t="str">
        <f>INDEX('Priority activities'!$D$5:$D$86,MATCH('Database for analysis'!C577,'Priority activities'!$C$5:$C$86,0))</f>
        <v>n/a</v>
      </c>
    </row>
    <row r="578" spans="2:27" ht="16.5" thickTop="1" thickBot="1" x14ac:dyDescent="0.3">
      <c r="B578" t="s">
        <v>713</v>
      </c>
      <c r="C578" s="22" t="str">
        <f>'Costing inputs'!$C$303</f>
        <v>Consumables</v>
      </c>
      <c r="D578" s="22">
        <f>'Costing inputs'!$U$303</f>
        <v>0</v>
      </c>
      <c r="E578" s="22" t="str">
        <f>'Regional splits'!$R$14</f>
        <v>National-level</v>
      </c>
      <c r="F578" s="10">
        <f>'Method mix + objectives'!G133</f>
        <v>868411.977979496</v>
      </c>
      <c r="G578" s="10">
        <f>'Method mix + objectives'!H133</f>
        <v>1007640.3328346435</v>
      </c>
      <c r="H578" s="10">
        <f>'Method mix + objectives'!I133</f>
        <v>1161331.9610903729</v>
      </c>
      <c r="I578" s="10">
        <f>'Method mix + objectives'!J133</f>
        <v>1330476.0836107237</v>
      </c>
      <c r="J578" s="10">
        <f>'Method mix + objectives'!K133</f>
        <v>1516117.017521522</v>
      </c>
      <c r="K578" s="10">
        <f>'Method mix + objectives'!L133</f>
        <v>1719356.9004975662</v>
      </c>
      <c r="L578" s="10">
        <f>'Method mix + objectives'!M133</f>
        <v>1941358.5397404579</v>
      </c>
      <c r="M578" s="10">
        <f>'Method mix + objectives'!N133</f>
        <v>2183348.3910537395</v>
      </c>
      <c r="N578" s="10" t="e">
        <f>'Method mix + objectives'!O133</f>
        <v>#N/A</v>
      </c>
      <c r="O578" s="10" t="e">
        <f>'Method mix + objectives'!P133</f>
        <v>#N/A</v>
      </c>
      <c r="P578" s="5">
        <f t="shared" si="90"/>
        <v>11728041.204328522</v>
      </c>
      <c r="Q578">
        <f t="shared" si="91"/>
        <v>868411.977979496</v>
      </c>
      <c r="R578">
        <f t="shared" si="92"/>
        <v>1007640.3328346435</v>
      </c>
      <c r="S578">
        <f t="shared" si="93"/>
        <v>1161331.9610903729</v>
      </c>
      <c r="T578">
        <f t="shared" si="94"/>
        <v>1330476.0836107237</v>
      </c>
      <c r="U578">
        <f t="shared" si="95"/>
        <v>1516117.017521522</v>
      </c>
      <c r="V578">
        <f t="shared" si="96"/>
        <v>1719356.9004975662</v>
      </c>
      <c r="W578">
        <f t="shared" si="97"/>
        <v>1941358.5397404579</v>
      </c>
      <c r="X578">
        <f t="shared" si="98"/>
        <v>2183348.3910537395</v>
      </c>
      <c r="Y578">
        <f t="shared" si="99"/>
        <v>0</v>
      </c>
      <c r="Z578">
        <f t="shared" si="100"/>
        <v>0</v>
      </c>
      <c r="AA578" t="str">
        <f>INDEX('Priority activities'!$D$5:$D$86,MATCH('Database for analysis'!C578,'Priority activities'!$C$5:$C$86,0))</f>
        <v>n/a</v>
      </c>
    </row>
    <row r="579" spans="2:27" ht="16.5" thickTop="1" thickBot="1" x14ac:dyDescent="0.3">
      <c r="B579" t="s">
        <v>262</v>
      </c>
      <c r="C579" s="22" t="str">
        <f>'Costing inputs'!$C$321</f>
        <v>Quality testing (PSC2)</v>
      </c>
      <c r="D579" s="22">
        <f>'Costing inputs'!$U$321</f>
        <v>0</v>
      </c>
      <c r="E579" s="22" t="str">
        <f>'Regional splits'!$C$14</f>
        <v>Central</v>
      </c>
      <c r="F579" s="10">
        <v>0</v>
      </c>
      <c r="G579" s="10">
        <v>0</v>
      </c>
      <c r="H579" s="10">
        <v>0</v>
      </c>
      <c r="I579" s="10">
        <v>0</v>
      </c>
      <c r="J579" s="10">
        <v>0</v>
      </c>
      <c r="K579" s="10">
        <v>0</v>
      </c>
      <c r="L579" s="10">
        <v>0</v>
      </c>
      <c r="M579" s="10">
        <v>0</v>
      </c>
      <c r="N579" s="10">
        <v>0</v>
      </c>
      <c r="O579" s="10">
        <v>0</v>
      </c>
      <c r="P579" s="5">
        <f t="shared" si="90"/>
        <v>0</v>
      </c>
      <c r="Q579">
        <f t="shared" si="91"/>
        <v>0</v>
      </c>
      <c r="R579">
        <f t="shared" si="92"/>
        <v>0</v>
      </c>
      <c r="S579">
        <f t="shared" si="93"/>
        <v>0</v>
      </c>
      <c r="T579">
        <f t="shared" si="94"/>
        <v>0</v>
      </c>
      <c r="U579">
        <f t="shared" si="95"/>
        <v>0</v>
      </c>
      <c r="V579">
        <f t="shared" si="96"/>
        <v>0</v>
      </c>
      <c r="W579">
        <f t="shared" si="97"/>
        <v>0</v>
      </c>
      <c r="X579">
        <f t="shared" si="98"/>
        <v>0</v>
      </c>
      <c r="Y579">
        <f t="shared" si="99"/>
        <v>0</v>
      </c>
      <c r="Z579">
        <f t="shared" si="100"/>
        <v>0</v>
      </c>
      <c r="AA579" t="str">
        <f>INDEX('Priority activities'!$D$5:$D$86,MATCH('Database for analysis'!C579,'Priority activities'!$C$5:$C$86,0))</f>
        <v>n/a</v>
      </c>
    </row>
    <row r="580" spans="2:27" ht="16.5" thickTop="1" thickBot="1" x14ac:dyDescent="0.3">
      <c r="B580" t="s">
        <v>262</v>
      </c>
      <c r="C580" s="22" t="str">
        <f>'Costing inputs'!$C$321</f>
        <v>Quality testing (PSC2)</v>
      </c>
      <c r="D580" s="22">
        <f>'Costing inputs'!$U$321</f>
        <v>0</v>
      </c>
      <c r="E580" s="22" t="str">
        <f>'Regional splits'!$D$14</f>
        <v>Copperbelt</v>
      </c>
      <c r="F580" s="10">
        <v>0</v>
      </c>
      <c r="G580" s="10">
        <v>0</v>
      </c>
      <c r="H580" s="10">
        <v>0</v>
      </c>
      <c r="I580" s="10">
        <v>0</v>
      </c>
      <c r="J580" s="10">
        <v>0</v>
      </c>
      <c r="K580" s="10">
        <v>0</v>
      </c>
      <c r="L580" s="10">
        <v>0</v>
      </c>
      <c r="M580" s="10">
        <v>0</v>
      </c>
      <c r="N580" s="10">
        <v>0</v>
      </c>
      <c r="O580" s="10">
        <v>0</v>
      </c>
      <c r="P580" s="5">
        <f t="shared" ref="P580:P643" si="101">SUMIF(F580:O580,"&lt;&gt;#N/A")</f>
        <v>0</v>
      </c>
      <c r="Q580">
        <f t="shared" ref="Q580:Q643" si="102">IF(ISNA(F580),0,F580)</f>
        <v>0</v>
      </c>
      <c r="R580">
        <f t="shared" ref="R580:R643" si="103">IF(ISNA(G580),0,G580)</f>
        <v>0</v>
      </c>
      <c r="S580">
        <f t="shared" ref="S580:S643" si="104">IF(ISNA(H580),0,H580)</f>
        <v>0</v>
      </c>
      <c r="T580">
        <f t="shared" ref="T580:T643" si="105">IF(ISNA(I580),0,I580)</f>
        <v>0</v>
      </c>
      <c r="U580">
        <f t="shared" ref="U580:U643" si="106">IF(ISNA(J580),0,J580)</f>
        <v>0</v>
      </c>
      <c r="V580">
        <f t="shared" ref="V580:V643" si="107">IF(ISNA(K580),0,K580)</f>
        <v>0</v>
      </c>
      <c r="W580">
        <f t="shared" ref="W580:W643" si="108">IF(ISNA(L580),0,L580)</f>
        <v>0</v>
      </c>
      <c r="X580">
        <f t="shared" ref="X580:X643" si="109">IF(ISNA(M580),0,M580)</f>
        <v>0</v>
      </c>
      <c r="Y580">
        <f t="shared" ref="Y580:Y643" si="110">IF(ISNA(N580),0,N580)</f>
        <v>0</v>
      </c>
      <c r="Z580">
        <f t="shared" ref="Z580:Z643" si="111">IF(ISNA(O580),0,O580)</f>
        <v>0</v>
      </c>
      <c r="AA580" t="str">
        <f>INDEX('Priority activities'!$D$5:$D$86,MATCH('Database for analysis'!C580,'Priority activities'!$C$5:$C$86,0))</f>
        <v>n/a</v>
      </c>
    </row>
    <row r="581" spans="2:27" ht="16.5" thickTop="1" thickBot="1" x14ac:dyDescent="0.3">
      <c r="B581" t="s">
        <v>262</v>
      </c>
      <c r="C581" s="22" t="str">
        <f>'Costing inputs'!$C$321</f>
        <v>Quality testing (PSC2)</v>
      </c>
      <c r="D581" s="22">
        <f>'Costing inputs'!$U$321</f>
        <v>0</v>
      </c>
      <c r="E581" s="22" t="str">
        <f>'Regional splits'!$E$14</f>
        <v>Eastern</v>
      </c>
      <c r="F581" s="10">
        <v>0</v>
      </c>
      <c r="G581" s="10">
        <v>0</v>
      </c>
      <c r="H581" s="10">
        <v>0</v>
      </c>
      <c r="I581" s="10">
        <v>0</v>
      </c>
      <c r="J581" s="10">
        <v>0</v>
      </c>
      <c r="K581" s="10">
        <v>0</v>
      </c>
      <c r="L581" s="10">
        <v>0</v>
      </c>
      <c r="M581" s="10">
        <v>0</v>
      </c>
      <c r="N581" s="10">
        <v>0</v>
      </c>
      <c r="O581" s="10">
        <v>0</v>
      </c>
      <c r="P581" s="5">
        <f t="shared" si="101"/>
        <v>0</v>
      </c>
      <c r="Q581">
        <f t="shared" si="102"/>
        <v>0</v>
      </c>
      <c r="R581">
        <f t="shared" si="103"/>
        <v>0</v>
      </c>
      <c r="S581">
        <f t="shared" si="104"/>
        <v>0</v>
      </c>
      <c r="T581">
        <f t="shared" si="105"/>
        <v>0</v>
      </c>
      <c r="U581">
        <f t="shared" si="106"/>
        <v>0</v>
      </c>
      <c r="V581">
        <f t="shared" si="107"/>
        <v>0</v>
      </c>
      <c r="W581">
        <f t="shared" si="108"/>
        <v>0</v>
      </c>
      <c r="X581">
        <f t="shared" si="109"/>
        <v>0</v>
      </c>
      <c r="Y581">
        <f t="shared" si="110"/>
        <v>0</v>
      </c>
      <c r="Z581">
        <f t="shared" si="111"/>
        <v>0</v>
      </c>
      <c r="AA581" t="str">
        <f>INDEX('Priority activities'!$D$5:$D$86,MATCH('Database for analysis'!C581,'Priority activities'!$C$5:$C$86,0))</f>
        <v>n/a</v>
      </c>
    </row>
    <row r="582" spans="2:27" ht="16.5" thickTop="1" thickBot="1" x14ac:dyDescent="0.3">
      <c r="B582" t="s">
        <v>262</v>
      </c>
      <c r="C582" s="22" t="str">
        <f>'Costing inputs'!$C$321</f>
        <v>Quality testing (PSC2)</v>
      </c>
      <c r="D582" s="22">
        <f>'Costing inputs'!$U$321</f>
        <v>0</v>
      </c>
      <c r="E582" s="22" t="str">
        <f>'Regional splits'!$F$14</f>
        <v>Luapula</v>
      </c>
      <c r="F582" s="10">
        <v>0</v>
      </c>
      <c r="G582" s="10">
        <v>0</v>
      </c>
      <c r="H582" s="10">
        <v>0</v>
      </c>
      <c r="I582" s="10">
        <v>0</v>
      </c>
      <c r="J582" s="10">
        <v>0</v>
      </c>
      <c r="K582" s="10">
        <v>0</v>
      </c>
      <c r="L582" s="10">
        <v>0</v>
      </c>
      <c r="M582" s="10">
        <v>0</v>
      </c>
      <c r="N582" s="10">
        <v>0</v>
      </c>
      <c r="O582" s="10">
        <v>0</v>
      </c>
      <c r="P582" s="5">
        <f t="shared" si="101"/>
        <v>0</v>
      </c>
      <c r="Q582">
        <f t="shared" si="102"/>
        <v>0</v>
      </c>
      <c r="R582">
        <f t="shared" si="103"/>
        <v>0</v>
      </c>
      <c r="S582">
        <f t="shared" si="104"/>
        <v>0</v>
      </c>
      <c r="T582">
        <f t="shared" si="105"/>
        <v>0</v>
      </c>
      <c r="U582">
        <f t="shared" si="106"/>
        <v>0</v>
      </c>
      <c r="V582">
        <f t="shared" si="107"/>
        <v>0</v>
      </c>
      <c r="W582">
        <f t="shared" si="108"/>
        <v>0</v>
      </c>
      <c r="X582">
        <f t="shared" si="109"/>
        <v>0</v>
      </c>
      <c r="Y582">
        <f t="shared" si="110"/>
        <v>0</v>
      </c>
      <c r="Z582">
        <f t="shared" si="111"/>
        <v>0</v>
      </c>
      <c r="AA582" t="str">
        <f>INDEX('Priority activities'!$D$5:$D$86,MATCH('Database for analysis'!C582,'Priority activities'!$C$5:$C$86,0))</f>
        <v>n/a</v>
      </c>
    </row>
    <row r="583" spans="2:27" ht="16.5" thickTop="1" thickBot="1" x14ac:dyDescent="0.3">
      <c r="B583" t="s">
        <v>262</v>
      </c>
      <c r="C583" s="22" t="str">
        <f>'Costing inputs'!$C$321</f>
        <v>Quality testing (PSC2)</v>
      </c>
      <c r="D583" s="22">
        <f>'Costing inputs'!$U$321</f>
        <v>0</v>
      </c>
      <c r="E583" s="22" t="str">
        <f>'Regional splits'!$G$14</f>
        <v>Lusaka</v>
      </c>
      <c r="F583" s="10">
        <v>0</v>
      </c>
      <c r="G583" s="10">
        <v>0</v>
      </c>
      <c r="H583" s="10">
        <v>0</v>
      </c>
      <c r="I583" s="10">
        <v>0</v>
      </c>
      <c r="J583" s="10">
        <v>0</v>
      </c>
      <c r="K583" s="10">
        <v>0</v>
      </c>
      <c r="L583" s="10">
        <v>0</v>
      </c>
      <c r="M583" s="10">
        <v>0</v>
      </c>
      <c r="N583" s="10">
        <v>0</v>
      </c>
      <c r="O583" s="10">
        <v>0</v>
      </c>
      <c r="P583" s="5">
        <f t="shared" si="101"/>
        <v>0</v>
      </c>
      <c r="Q583">
        <f t="shared" si="102"/>
        <v>0</v>
      </c>
      <c r="R583">
        <f t="shared" si="103"/>
        <v>0</v>
      </c>
      <c r="S583">
        <f t="shared" si="104"/>
        <v>0</v>
      </c>
      <c r="T583">
        <f t="shared" si="105"/>
        <v>0</v>
      </c>
      <c r="U583">
        <f t="shared" si="106"/>
        <v>0</v>
      </c>
      <c r="V583">
        <f t="shared" si="107"/>
        <v>0</v>
      </c>
      <c r="W583">
        <f t="shared" si="108"/>
        <v>0</v>
      </c>
      <c r="X583">
        <f t="shared" si="109"/>
        <v>0</v>
      </c>
      <c r="Y583">
        <f t="shared" si="110"/>
        <v>0</v>
      </c>
      <c r="Z583">
        <f t="shared" si="111"/>
        <v>0</v>
      </c>
      <c r="AA583" t="str">
        <f>INDEX('Priority activities'!$D$5:$D$86,MATCH('Database for analysis'!C583,'Priority activities'!$C$5:$C$86,0))</f>
        <v>n/a</v>
      </c>
    </row>
    <row r="584" spans="2:27" ht="16.5" thickTop="1" thickBot="1" x14ac:dyDescent="0.3">
      <c r="B584" t="s">
        <v>262</v>
      </c>
      <c r="C584" s="22" t="str">
        <f>'Costing inputs'!$C$321</f>
        <v>Quality testing (PSC2)</v>
      </c>
      <c r="D584" s="22">
        <f>'Costing inputs'!$U$321</f>
        <v>0</v>
      </c>
      <c r="E584" s="22" t="str">
        <f>'Regional splits'!$H$14</f>
        <v>Muchinga</v>
      </c>
      <c r="F584" s="10">
        <v>0</v>
      </c>
      <c r="G584" s="10">
        <v>0</v>
      </c>
      <c r="H584" s="10">
        <v>0</v>
      </c>
      <c r="I584" s="10">
        <v>0</v>
      </c>
      <c r="J584" s="10">
        <v>0</v>
      </c>
      <c r="K584" s="10">
        <v>0</v>
      </c>
      <c r="L584" s="10">
        <v>0</v>
      </c>
      <c r="M584" s="10">
        <v>0</v>
      </c>
      <c r="N584" s="10">
        <v>0</v>
      </c>
      <c r="O584" s="10">
        <v>0</v>
      </c>
      <c r="P584" s="5">
        <f t="shared" si="101"/>
        <v>0</v>
      </c>
      <c r="Q584">
        <f t="shared" si="102"/>
        <v>0</v>
      </c>
      <c r="R584">
        <f t="shared" si="103"/>
        <v>0</v>
      </c>
      <c r="S584">
        <f t="shared" si="104"/>
        <v>0</v>
      </c>
      <c r="T584">
        <f t="shared" si="105"/>
        <v>0</v>
      </c>
      <c r="U584">
        <f t="shared" si="106"/>
        <v>0</v>
      </c>
      <c r="V584">
        <f t="shared" si="107"/>
        <v>0</v>
      </c>
      <c r="W584">
        <f t="shared" si="108"/>
        <v>0</v>
      </c>
      <c r="X584">
        <f t="shared" si="109"/>
        <v>0</v>
      </c>
      <c r="Y584">
        <f t="shared" si="110"/>
        <v>0</v>
      </c>
      <c r="Z584">
        <f t="shared" si="111"/>
        <v>0</v>
      </c>
      <c r="AA584" t="str">
        <f>INDEX('Priority activities'!$D$5:$D$86,MATCH('Database for analysis'!C584,'Priority activities'!$C$5:$C$86,0))</f>
        <v>n/a</v>
      </c>
    </row>
    <row r="585" spans="2:27" ht="16.5" thickTop="1" thickBot="1" x14ac:dyDescent="0.3">
      <c r="B585" t="s">
        <v>262</v>
      </c>
      <c r="C585" s="22" t="str">
        <f>'Costing inputs'!$C$321</f>
        <v>Quality testing (PSC2)</v>
      </c>
      <c r="D585" s="22">
        <f>'Costing inputs'!$U$321</f>
        <v>0</v>
      </c>
      <c r="E585" s="22" t="str">
        <f>'Regional splits'!$I$14</f>
        <v>Northern</v>
      </c>
      <c r="F585" s="10">
        <v>0</v>
      </c>
      <c r="G585" s="10">
        <v>0</v>
      </c>
      <c r="H585" s="10">
        <v>0</v>
      </c>
      <c r="I585" s="10">
        <v>0</v>
      </c>
      <c r="J585" s="10">
        <v>0</v>
      </c>
      <c r="K585" s="10">
        <v>0</v>
      </c>
      <c r="L585" s="10">
        <v>0</v>
      </c>
      <c r="M585" s="10">
        <v>0</v>
      </c>
      <c r="N585" s="10">
        <v>0</v>
      </c>
      <c r="O585" s="10">
        <v>0</v>
      </c>
      <c r="P585" s="5">
        <f t="shared" si="101"/>
        <v>0</v>
      </c>
      <c r="Q585">
        <f t="shared" si="102"/>
        <v>0</v>
      </c>
      <c r="R585">
        <f t="shared" si="103"/>
        <v>0</v>
      </c>
      <c r="S585">
        <f t="shared" si="104"/>
        <v>0</v>
      </c>
      <c r="T585">
        <f t="shared" si="105"/>
        <v>0</v>
      </c>
      <c r="U585">
        <f t="shared" si="106"/>
        <v>0</v>
      </c>
      <c r="V585">
        <f t="shared" si="107"/>
        <v>0</v>
      </c>
      <c r="W585">
        <f t="shared" si="108"/>
        <v>0</v>
      </c>
      <c r="X585">
        <f t="shared" si="109"/>
        <v>0</v>
      </c>
      <c r="Y585">
        <f t="shared" si="110"/>
        <v>0</v>
      </c>
      <c r="Z585">
        <f t="shared" si="111"/>
        <v>0</v>
      </c>
      <c r="AA585" t="str">
        <f>INDEX('Priority activities'!$D$5:$D$86,MATCH('Database for analysis'!C585,'Priority activities'!$C$5:$C$86,0))</f>
        <v>n/a</v>
      </c>
    </row>
    <row r="586" spans="2:27" ht="16.5" thickTop="1" thickBot="1" x14ac:dyDescent="0.3">
      <c r="B586" t="s">
        <v>262</v>
      </c>
      <c r="C586" s="22" t="str">
        <f>'Costing inputs'!$C$321</f>
        <v>Quality testing (PSC2)</v>
      </c>
      <c r="D586" s="22">
        <f>'Costing inputs'!$U$321</f>
        <v>0</v>
      </c>
      <c r="E586" s="22" t="str">
        <f>'Regional splits'!$J$14</f>
        <v>North Western</v>
      </c>
      <c r="F586" s="10">
        <v>0</v>
      </c>
      <c r="G586" s="10">
        <v>0</v>
      </c>
      <c r="H586" s="10">
        <v>0</v>
      </c>
      <c r="I586" s="10">
        <v>0</v>
      </c>
      <c r="J586" s="10">
        <v>0</v>
      </c>
      <c r="K586" s="10">
        <v>0</v>
      </c>
      <c r="L586" s="10">
        <v>0</v>
      </c>
      <c r="M586" s="10">
        <v>0</v>
      </c>
      <c r="N586" s="10">
        <v>0</v>
      </c>
      <c r="O586" s="10">
        <v>0</v>
      </c>
      <c r="P586" s="5">
        <f t="shared" si="101"/>
        <v>0</v>
      </c>
      <c r="Q586">
        <f t="shared" si="102"/>
        <v>0</v>
      </c>
      <c r="R586">
        <f t="shared" si="103"/>
        <v>0</v>
      </c>
      <c r="S586">
        <f t="shared" si="104"/>
        <v>0</v>
      </c>
      <c r="T586">
        <f t="shared" si="105"/>
        <v>0</v>
      </c>
      <c r="U586">
        <f t="shared" si="106"/>
        <v>0</v>
      </c>
      <c r="V586">
        <f t="shared" si="107"/>
        <v>0</v>
      </c>
      <c r="W586">
        <f t="shared" si="108"/>
        <v>0</v>
      </c>
      <c r="X586">
        <f t="shared" si="109"/>
        <v>0</v>
      </c>
      <c r="Y586">
        <f t="shared" si="110"/>
        <v>0</v>
      </c>
      <c r="Z586">
        <f t="shared" si="111"/>
        <v>0</v>
      </c>
      <c r="AA586" t="str">
        <f>INDEX('Priority activities'!$D$5:$D$86,MATCH('Database for analysis'!C586,'Priority activities'!$C$5:$C$86,0))</f>
        <v>n/a</v>
      </c>
    </row>
    <row r="587" spans="2:27" ht="16.5" thickTop="1" thickBot="1" x14ac:dyDescent="0.3">
      <c r="B587" t="s">
        <v>262</v>
      </c>
      <c r="C587" s="22" t="str">
        <f>'Costing inputs'!$C$321</f>
        <v>Quality testing (PSC2)</v>
      </c>
      <c r="D587" s="22">
        <f>'Costing inputs'!$U$321</f>
        <v>0</v>
      </c>
      <c r="E587" s="22" t="str">
        <f>'Regional splits'!$K$14</f>
        <v>Southern</v>
      </c>
      <c r="F587" s="10">
        <v>0</v>
      </c>
      <c r="G587" s="10">
        <v>0</v>
      </c>
      <c r="H587" s="10">
        <v>0</v>
      </c>
      <c r="I587" s="10">
        <v>0</v>
      </c>
      <c r="J587" s="10">
        <v>0</v>
      </c>
      <c r="K587" s="10">
        <v>0</v>
      </c>
      <c r="L587" s="10">
        <v>0</v>
      </c>
      <c r="M587" s="10">
        <v>0</v>
      </c>
      <c r="N587" s="10">
        <v>0</v>
      </c>
      <c r="O587" s="10">
        <v>0</v>
      </c>
      <c r="P587" s="5">
        <f t="shared" si="101"/>
        <v>0</v>
      </c>
      <c r="Q587">
        <f t="shared" si="102"/>
        <v>0</v>
      </c>
      <c r="R587">
        <f t="shared" si="103"/>
        <v>0</v>
      </c>
      <c r="S587">
        <f t="shared" si="104"/>
        <v>0</v>
      </c>
      <c r="T587">
        <f t="shared" si="105"/>
        <v>0</v>
      </c>
      <c r="U587">
        <f t="shared" si="106"/>
        <v>0</v>
      </c>
      <c r="V587">
        <f t="shared" si="107"/>
        <v>0</v>
      </c>
      <c r="W587">
        <f t="shared" si="108"/>
        <v>0</v>
      </c>
      <c r="X587">
        <f t="shared" si="109"/>
        <v>0</v>
      </c>
      <c r="Y587">
        <f t="shared" si="110"/>
        <v>0</v>
      </c>
      <c r="Z587">
        <f t="shared" si="111"/>
        <v>0</v>
      </c>
      <c r="AA587" t="str">
        <f>INDEX('Priority activities'!$D$5:$D$86,MATCH('Database for analysis'!C587,'Priority activities'!$C$5:$C$86,0))</f>
        <v>n/a</v>
      </c>
    </row>
    <row r="588" spans="2:27" ht="16.5" thickTop="1" thickBot="1" x14ac:dyDescent="0.3">
      <c r="B588" t="s">
        <v>262</v>
      </c>
      <c r="C588" s="22" t="str">
        <f>'Costing inputs'!$C$321</f>
        <v>Quality testing (PSC2)</v>
      </c>
      <c r="D588" s="22">
        <f>'Costing inputs'!$U$321</f>
        <v>0</v>
      </c>
      <c r="E588" s="22" t="str">
        <f>'Regional splits'!$L$14</f>
        <v>Western</v>
      </c>
      <c r="F588" s="10">
        <v>0</v>
      </c>
      <c r="G588" s="10">
        <v>0</v>
      </c>
      <c r="H588" s="10">
        <v>0</v>
      </c>
      <c r="I588" s="10">
        <v>0</v>
      </c>
      <c r="J588" s="10">
        <v>0</v>
      </c>
      <c r="K588" s="10">
        <v>0</v>
      </c>
      <c r="L588" s="10">
        <v>0</v>
      </c>
      <c r="M588" s="10">
        <v>0</v>
      </c>
      <c r="N588" s="10">
        <v>0</v>
      </c>
      <c r="O588" s="10">
        <v>0</v>
      </c>
      <c r="P588" s="5">
        <f t="shared" si="101"/>
        <v>0</v>
      </c>
      <c r="Q588">
        <f t="shared" si="102"/>
        <v>0</v>
      </c>
      <c r="R588">
        <f t="shared" si="103"/>
        <v>0</v>
      </c>
      <c r="S588">
        <f t="shared" si="104"/>
        <v>0</v>
      </c>
      <c r="T588">
        <f t="shared" si="105"/>
        <v>0</v>
      </c>
      <c r="U588">
        <f t="shared" si="106"/>
        <v>0</v>
      </c>
      <c r="V588">
        <f t="shared" si="107"/>
        <v>0</v>
      </c>
      <c r="W588">
        <f t="shared" si="108"/>
        <v>0</v>
      </c>
      <c r="X588">
        <f t="shared" si="109"/>
        <v>0</v>
      </c>
      <c r="Y588">
        <f t="shared" si="110"/>
        <v>0</v>
      </c>
      <c r="Z588">
        <f t="shared" si="111"/>
        <v>0</v>
      </c>
      <c r="AA588" t="str">
        <f>INDEX('Priority activities'!$D$5:$D$86,MATCH('Database for analysis'!C588,'Priority activities'!$C$5:$C$86,0))</f>
        <v>n/a</v>
      </c>
    </row>
    <row r="589" spans="2:27" ht="16.5" thickTop="1" thickBot="1" x14ac:dyDescent="0.3">
      <c r="B589" t="s">
        <v>262</v>
      </c>
      <c r="C589" s="22" t="str">
        <f>'Costing inputs'!$C$321</f>
        <v>Quality testing (PSC2)</v>
      </c>
      <c r="D589" s="22">
        <f>'Costing inputs'!$U$321</f>
        <v>0</v>
      </c>
      <c r="E589" s="22">
        <f>'Regional splits'!$M$14</f>
        <v>0</v>
      </c>
      <c r="F589" s="10">
        <v>0</v>
      </c>
      <c r="G589" s="10">
        <v>0</v>
      </c>
      <c r="H589" s="10">
        <v>0</v>
      </c>
      <c r="I589" s="10">
        <v>0</v>
      </c>
      <c r="J589" s="10">
        <v>0</v>
      </c>
      <c r="K589" s="10">
        <v>0</v>
      </c>
      <c r="L589" s="10">
        <v>0</v>
      </c>
      <c r="M589" s="10">
        <v>0</v>
      </c>
      <c r="N589" s="10">
        <v>0</v>
      </c>
      <c r="O589" s="10">
        <v>0</v>
      </c>
      <c r="P589" s="5">
        <f t="shared" si="101"/>
        <v>0</v>
      </c>
      <c r="Q589">
        <f t="shared" si="102"/>
        <v>0</v>
      </c>
      <c r="R589">
        <f t="shared" si="103"/>
        <v>0</v>
      </c>
      <c r="S589">
        <f t="shared" si="104"/>
        <v>0</v>
      </c>
      <c r="T589">
        <f t="shared" si="105"/>
        <v>0</v>
      </c>
      <c r="U589">
        <f t="shared" si="106"/>
        <v>0</v>
      </c>
      <c r="V589">
        <f t="shared" si="107"/>
        <v>0</v>
      </c>
      <c r="W589">
        <f t="shared" si="108"/>
        <v>0</v>
      </c>
      <c r="X589">
        <f t="shared" si="109"/>
        <v>0</v>
      </c>
      <c r="Y589">
        <f t="shared" si="110"/>
        <v>0</v>
      </c>
      <c r="Z589">
        <f t="shared" si="111"/>
        <v>0</v>
      </c>
      <c r="AA589" t="str">
        <f>INDEX('Priority activities'!$D$5:$D$86,MATCH('Database for analysis'!C589,'Priority activities'!$C$5:$C$86,0))</f>
        <v>n/a</v>
      </c>
    </row>
    <row r="590" spans="2:27" ht="16.5" thickTop="1" thickBot="1" x14ac:dyDescent="0.3">
      <c r="B590" t="s">
        <v>262</v>
      </c>
      <c r="C590" s="22" t="str">
        <f>'Costing inputs'!$C$321</f>
        <v>Quality testing (PSC2)</v>
      </c>
      <c r="D590" s="22">
        <f>'Costing inputs'!$U$321</f>
        <v>0</v>
      </c>
      <c r="E590" s="22">
        <f>'Regional splits'!$N$14</f>
        <v>0</v>
      </c>
      <c r="F590" s="10">
        <v>0</v>
      </c>
      <c r="G590" s="10">
        <v>0</v>
      </c>
      <c r="H590" s="10">
        <v>0</v>
      </c>
      <c r="I590" s="10">
        <v>0</v>
      </c>
      <c r="J590" s="10">
        <v>0</v>
      </c>
      <c r="K590" s="10">
        <v>0</v>
      </c>
      <c r="L590" s="10">
        <v>0</v>
      </c>
      <c r="M590" s="10">
        <v>0</v>
      </c>
      <c r="N590" s="10">
        <v>0</v>
      </c>
      <c r="O590" s="10">
        <v>0</v>
      </c>
      <c r="P590" s="5">
        <f t="shared" si="101"/>
        <v>0</v>
      </c>
      <c r="Q590">
        <f t="shared" si="102"/>
        <v>0</v>
      </c>
      <c r="R590">
        <f t="shared" si="103"/>
        <v>0</v>
      </c>
      <c r="S590">
        <f t="shared" si="104"/>
        <v>0</v>
      </c>
      <c r="T590">
        <f t="shared" si="105"/>
        <v>0</v>
      </c>
      <c r="U590">
        <f t="shared" si="106"/>
        <v>0</v>
      </c>
      <c r="V590">
        <f t="shared" si="107"/>
        <v>0</v>
      </c>
      <c r="W590">
        <f t="shared" si="108"/>
        <v>0</v>
      </c>
      <c r="X590">
        <f t="shared" si="109"/>
        <v>0</v>
      </c>
      <c r="Y590">
        <f t="shared" si="110"/>
        <v>0</v>
      </c>
      <c r="Z590">
        <f t="shared" si="111"/>
        <v>0</v>
      </c>
      <c r="AA590" t="str">
        <f>INDEX('Priority activities'!$D$5:$D$86,MATCH('Database for analysis'!C590,'Priority activities'!$C$5:$C$86,0))</f>
        <v>n/a</v>
      </c>
    </row>
    <row r="591" spans="2:27" ht="16.5" thickTop="1" thickBot="1" x14ac:dyDescent="0.3">
      <c r="B591" t="s">
        <v>262</v>
      </c>
      <c r="C591" s="22" t="str">
        <f>'Costing inputs'!$C$321</f>
        <v>Quality testing (PSC2)</v>
      </c>
      <c r="D591" s="22">
        <f>'Costing inputs'!$U$321</f>
        <v>0</v>
      </c>
      <c r="E591" s="22">
        <f>'Regional splits'!$O$14</f>
        <v>0</v>
      </c>
      <c r="F591" s="10">
        <v>0</v>
      </c>
      <c r="G591" s="10">
        <v>0</v>
      </c>
      <c r="H591" s="10">
        <v>0</v>
      </c>
      <c r="I591" s="10">
        <v>0</v>
      </c>
      <c r="J591" s="10">
        <v>0</v>
      </c>
      <c r="K591" s="10">
        <v>0</v>
      </c>
      <c r="L591" s="10">
        <v>0</v>
      </c>
      <c r="M591" s="10">
        <v>0</v>
      </c>
      <c r="N591" s="10">
        <v>0</v>
      </c>
      <c r="O591" s="10">
        <v>0</v>
      </c>
      <c r="P591" s="5">
        <f t="shared" si="101"/>
        <v>0</v>
      </c>
      <c r="Q591">
        <f t="shared" si="102"/>
        <v>0</v>
      </c>
      <c r="R591">
        <f t="shared" si="103"/>
        <v>0</v>
      </c>
      <c r="S591">
        <f t="shared" si="104"/>
        <v>0</v>
      </c>
      <c r="T591">
        <f t="shared" si="105"/>
        <v>0</v>
      </c>
      <c r="U591">
        <f t="shared" si="106"/>
        <v>0</v>
      </c>
      <c r="V591">
        <f t="shared" si="107"/>
        <v>0</v>
      </c>
      <c r="W591">
        <f t="shared" si="108"/>
        <v>0</v>
      </c>
      <c r="X591">
        <f t="shared" si="109"/>
        <v>0</v>
      </c>
      <c r="Y591">
        <f t="shared" si="110"/>
        <v>0</v>
      </c>
      <c r="Z591">
        <f t="shared" si="111"/>
        <v>0</v>
      </c>
      <c r="AA591" t="str">
        <f>INDEX('Priority activities'!$D$5:$D$86,MATCH('Database for analysis'!C591,'Priority activities'!$C$5:$C$86,0))</f>
        <v>n/a</v>
      </c>
    </row>
    <row r="592" spans="2:27" ht="16.5" thickTop="1" thickBot="1" x14ac:dyDescent="0.3">
      <c r="B592" t="s">
        <v>262</v>
      </c>
      <c r="C592" s="22" t="str">
        <f>'Costing inputs'!$C$321</f>
        <v>Quality testing (PSC2)</v>
      </c>
      <c r="D592" s="22">
        <f>'Costing inputs'!$U$321</f>
        <v>0</v>
      </c>
      <c r="E592" s="22">
        <f>'Regional splits'!$P$14</f>
        <v>0</v>
      </c>
      <c r="F592" s="10">
        <v>0</v>
      </c>
      <c r="G592" s="10">
        <v>0</v>
      </c>
      <c r="H592" s="10">
        <v>0</v>
      </c>
      <c r="I592" s="10">
        <v>0</v>
      </c>
      <c r="J592" s="10">
        <v>0</v>
      </c>
      <c r="K592" s="10">
        <v>0</v>
      </c>
      <c r="L592" s="10">
        <v>0</v>
      </c>
      <c r="M592" s="10">
        <v>0</v>
      </c>
      <c r="N592" s="10">
        <v>0</v>
      </c>
      <c r="O592" s="10">
        <v>0</v>
      </c>
      <c r="P592" s="5">
        <f t="shared" si="101"/>
        <v>0</v>
      </c>
      <c r="Q592">
        <f t="shared" si="102"/>
        <v>0</v>
      </c>
      <c r="R592">
        <f t="shared" si="103"/>
        <v>0</v>
      </c>
      <c r="S592">
        <f t="shared" si="104"/>
        <v>0</v>
      </c>
      <c r="T592">
        <f t="shared" si="105"/>
        <v>0</v>
      </c>
      <c r="U592">
        <f t="shared" si="106"/>
        <v>0</v>
      </c>
      <c r="V592">
        <f t="shared" si="107"/>
        <v>0</v>
      </c>
      <c r="W592">
        <f t="shared" si="108"/>
        <v>0</v>
      </c>
      <c r="X592">
        <f t="shared" si="109"/>
        <v>0</v>
      </c>
      <c r="Y592">
        <f t="shared" si="110"/>
        <v>0</v>
      </c>
      <c r="Z592">
        <f t="shared" si="111"/>
        <v>0</v>
      </c>
      <c r="AA592" t="str">
        <f>INDEX('Priority activities'!$D$5:$D$86,MATCH('Database for analysis'!C592,'Priority activities'!$C$5:$C$86,0))</f>
        <v>n/a</v>
      </c>
    </row>
    <row r="593" spans="2:27" ht="16.5" thickTop="1" thickBot="1" x14ac:dyDescent="0.3">
      <c r="B593" t="s">
        <v>262</v>
      </c>
      <c r="C593" s="22" t="str">
        <f>'Costing inputs'!$C$321</f>
        <v>Quality testing (PSC2)</v>
      </c>
      <c r="D593" s="22">
        <f>'Costing inputs'!$U$321</f>
        <v>0</v>
      </c>
      <c r="E593" s="22">
        <f>'Regional splits'!$Q$14</f>
        <v>0</v>
      </c>
      <c r="F593" s="10">
        <v>0</v>
      </c>
      <c r="G593" s="10">
        <v>0</v>
      </c>
      <c r="H593" s="10">
        <v>0</v>
      </c>
      <c r="I593" s="10">
        <v>0</v>
      </c>
      <c r="J593" s="10">
        <v>0</v>
      </c>
      <c r="K593" s="10">
        <v>0</v>
      </c>
      <c r="L593" s="10">
        <v>0</v>
      </c>
      <c r="M593" s="10">
        <v>0</v>
      </c>
      <c r="N593" s="10">
        <v>0</v>
      </c>
      <c r="O593" s="10">
        <v>0</v>
      </c>
      <c r="P593" s="5">
        <f t="shared" si="101"/>
        <v>0</v>
      </c>
      <c r="Q593">
        <f t="shared" si="102"/>
        <v>0</v>
      </c>
      <c r="R593">
        <f t="shared" si="103"/>
        <v>0</v>
      </c>
      <c r="S593">
        <f t="shared" si="104"/>
        <v>0</v>
      </c>
      <c r="T593">
        <f t="shared" si="105"/>
        <v>0</v>
      </c>
      <c r="U593">
        <f t="shared" si="106"/>
        <v>0</v>
      </c>
      <c r="V593">
        <f t="shared" si="107"/>
        <v>0</v>
      </c>
      <c r="W593">
        <f t="shared" si="108"/>
        <v>0</v>
      </c>
      <c r="X593">
        <f t="shared" si="109"/>
        <v>0</v>
      </c>
      <c r="Y593">
        <f t="shared" si="110"/>
        <v>0</v>
      </c>
      <c r="Z593">
        <f t="shared" si="111"/>
        <v>0</v>
      </c>
      <c r="AA593" t="str">
        <f>INDEX('Priority activities'!$D$5:$D$86,MATCH('Database for analysis'!C593,'Priority activities'!$C$5:$C$86,0))</f>
        <v>n/a</v>
      </c>
    </row>
    <row r="594" spans="2:27" ht="16.5" thickTop="1" thickBot="1" x14ac:dyDescent="0.3">
      <c r="B594" t="s">
        <v>262</v>
      </c>
      <c r="C594" s="22" t="str">
        <f>'Costing inputs'!$C$321</f>
        <v>Quality testing (PSC2)</v>
      </c>
      <c r="D594" s="22">
        <f>'Costing inputs'!$U$321</f>
        <v>0</v>
      </c>
      <c r="E594" s="22" t="str">
        <f>'Regional splits'!$R$14</f>
        <v>National-level</v>
      </c>
      <c r="F594" s="10">
        <f>'Method mix + objectives'!G136</f>
        <v>18463.135554460838</v>
      </c>
      <c r="G594" s="10">
        <f>'Method mix + objectives'!H136</f>
        <v>20055.23374271658</v>
      </c>
      <c r="H594" s="10">
        <f>'Method mix + objectives'!I136</f>
        <v>21716.165463640198</v>
      </c>
      <c r="I594" s="10">
        <f>'Method mix + objectives'!J136</f>
        <v>23448.252810759357</v>
      </c>
      <c r="J594" s="10">
        <f>'Method mix + objectives'!K136</f>
        <v>25253.881511841417</v>
      </c>
      <c r="K594" s="10">
        <f>'Method mix + objectives'!L136</f>
        <v>27135.502159846368</v>
      </c>
      <c r="L594" s="10">
        <f>'Method mix + objectives'!M136</f>
        <v>29095.631442657203</v>
      </c>
      <c r="M594" s="10">
        <f>'Method mix + objectives'!N136</f>
        <v>31136.85336977398</v>
      </c>
      <c r="N594" s="10" t="e">
        <f>'Method mix + objectives'!O136</f>
        <v>#N/A</v>
      </c>
      <c r="O594" s="10" t="e">
        <f>'Method mix + objectives'!P136</f>
        <v>#N/A</v>
      </c>
      <c r="P594" s="5">
        <f t="shared" si="101"/>
        <v>196304.65605569593</v>
      </c>
      <c r="Q594">
        <f t="shared" si="102"/>
        <v>18463.135554460838</v>
      </c>
      <c r="R594">
        <f t="shared" si="103"/>
        <v>20055.23374271658</v>
      </c>
      <c r="S594">
        <f t="shared" si="104"/>
        <v>21716.165463640198</v>
      </c>
      <c r="T594">
        <f t="shared" si="105"/>
        <v>23448.252810759357</v>
      </c>
      <c r="U594">
        <f t="shared" si="106"/>
        <v>25253.881511841417</v>
      </c>
      <c r="V594">
        <f t="shared" si="107"/>
        <v>27135.502159846368</v>
      </c>
      <c r="W594">
        <f t="shared" si="108"/>
        <v>29095.631442657203</v>
      </c>
      <c r="X594">
        <f t="shared" si="109"/>
        <v>31136.85336977398</v>
      </c>
      <c r="Y594">
        <f t="shared" si="110"/>
        <v>0</v>
      </c>
      <c r="Z594">
        <f t="shared" si="111"/>
        <v>0</v>
      </c>
      <c r="AA594" t="str">
        <f>INDEX('Priority activities'!$D$5:$D$86,MATCH('Database for analysis'!C594,'Priority activities'!$C$5:$C$86,0))</f>
        <v>n/a</v>
      </c>
    </row>
    <row r="595" spans="2:27" ht="16.5" thickTop="1" thickBot="1" x14ac:dyDescent="0.3">
      <c r="B595" t="s">
        <v>262</v>
      </c>
      <c r="C595" s="22" t="str">
        <f>'Costing inputs'!$C$323</f>
        <v>Procurement and forecasting meetings (PSC1.1)</v>
      </c>
      <c r="D595" s="22" t="str">
        <f>'Costing inputs'!$U$323</f>
        <v>Central level</v>
      </c>
      <c r="E595" s="22" t="str">
        <f>'Regional splits'!$C$14</f>
        <v>Central</v>
      </c>
      <c r="F595">
        <f t="array" ref="F595:O610">'Costing inputs'!S323*'Costing inputs'!AP323:AY323*TRANSPOSE('Costing inputs'!W323:AL323)</f>
        <v>0</v>
      </c>
      <c r="G595">
        <v>0</v>
      </c>
      <c r="H595">
        <v>0</v>
      </c>
      <c r="I595">
        <v>0</v>
      </c>
      <c r="J595">
        <v>0</v>
      </c>
      <c r="K595">
        <v>0</v>
      </c>
      <c r="L595">
        <v>0</v>
      </c>
      <c r="M595">
        <v>0</v>
      </c>
      <c r="N595">
        <v>0</v>
      </c>
      <c r="O595">
        <v>0</v>
      </c>
      <c r="P595" s="5">
        <f t="shared" si="101"/>
        <v>0</v>
      </c>
      <c r="Q595">
        <f t="shared" si="102"/>
        <v>0</v>
      </c>
      <c r="R595">
        <f t="shared" si="103"/>
        <v>0</v>
      </c>
      <c r="S595">
        <f t="shared" si="104"/>
        <v>0</v>
      </c>
      <c r="T595">
        <f t="shared" si="105"/>
        <v>0</v>
      </c>
      <c r="U595">
        <f t="shared" si="106"/>
        <v>0</v>
      </c>
      <c r="V595">
        <f t="shared" si="107"/>
        <v>0</v>
      </c>
      <c r="W595">
        <f t="shared" si="108"/>
        <v>0</v>
      </c>
      <c r="X595">
        <f t="shared" si="109"/>
        <v>0</v>
      </c>
      <c r="Y595">
        <f t="shared" si="110"/>
        <v>0</v>
      </c>
      <c r="Z595">
        <f t="shared" si="111"/>
        <v>0</v>
      </c>
      <c r="AA595" t="str">
        <f>INDEX('Priority activities'!$D$5:$D$86,MATCH('Database for analysis'!C595,'Priority activities'!$C$5:$C$86,0))</f>
        <v>n/a</v>
      </c>
    </row>
    <row r="596" spans="2:27" ht="16.5" thickTop="1" thickBot="1" x14ac:dyDescent="0.3">
      <c r="B596" t="s">
        <v>262</v>
      </c>
      <c r="C596" s="22" t="str">
        <f>'Costing inputs'!$C$323</f>
        <v>Procurement and forecasting meetings (PSC1.1)</v>
      </c>
      <c r="D596" s="22" t="str">
        <f>'Costing inputs'!$U$323</f>
        <v>Central level</v>
      </c>
      <c r="E596" s="22" t="str">
        <f>'Regional splits'!$D$14</f>
        <v>Copperbelt</v>
      </c>
      <c r="F596">
        <v>0</v>
      </c>
      <c r="G596">
        <v>0</v>
      </c>
      <c r="H596">
        <v>0</v>
      </c>
      <c r="I596">
        <v>0</v>
      </c>
      <c r="J596">
        <v>0</v>
      </c>
      <c r="K596">
        <v>0</v>
      </c>
      <c r="L596">
        <v>0</v>
      </c>
      <c r="M596">
        <v>0</v>
      </c>
      <c r="N596">
        <v>0</v>
      </c>
      <c r="O596">
        <v>0</v>
      </c>
      <c r="P596" s="5">
        <f t="shared" si="101"/>
        <v>0</v>
      </c>
      <c r="Q596">
        <f t="shared" si="102"/>
        <v>0</v>
      </c>
      <c r="R596">
        <f t="shared" si="103"/>
        <v>0</v>
      </c>
      <c r="S596">
        <f t="shared" si="104"/>
        <v>0</v>
      </c>
      <c r="T596">
        <f t="shared" si="105"/>
        <v>0</v>
      </c>
      <c r="U596">
        <f t="shared" si="106"/>
        <v>0</v>
      </c>
      <c r="V596">
        <f t="shared" si="107"/>
        <v>0</v>
      </c>
      <c r="W596">
        <f t="shared" si="108"/>
        <v>0</v>
      </c>
      <c r="X596">
        <f t="shared" si="109"/>
        <v>0</v>
      </c>
      <c r="Y596">
        <f t="shared" si="110"/>
        <v>0</v>
      </c>
      <c r="Z596">
        <f t="shared" si="111"/>
        <v>0</v>
      </c>
      <c r="AA596" t="str">
        <f>INDEX('Priority activities'!$D$5:$D$86,MATCH('Database for analysis'!C596,'Priority activities'!$C$5:$C$86,0))</f>
        <v>n/a</v>
      </c>
    </row>
    <row r="597" spans="2:27" ht="16.5" thickTop="1" thickBot="1" x14ac:dyDescent="0.3">
      <c r="B597" t="s">
        <v>262</v>
      </c>
      <c r="C597" s="22" t="str">
        <f>'Costing inputs'!$C$323</f>
        <v>Procurement and forecasting meetings (PSC1.1)</v>
      </c>
      <c r="D597" s="22" t="str">
        <f>'Costing inputs'!$U$323</f>
        <v>Central level</v>
      </c>
      <c r="E597" s="22" t="str">
        <f>'Regional splits'!$E$14</f>
        <v>Eastern</v>
      </c>
      <c r="F597">
        <v>0</v>
      </c>
      <c r="G597">
        <v>0</v>
      </c>
      <c r="H597">
        <v>0</v>
      </c>
      <c r="I597">
        <v>0</v>
      </c>
      <c r="J597">
        <v>0</v>
      </c>
      <c r="K597">
        <v>0</v>
      </c>
      <c r="L597">
        <v>0</v>
      </c>
      <c r="M597">
        <v>0</v>
      </c>
      <c r="N597">
        <v>0</v>
      </c>
      <c r="O597">
        <v>0</v>
      </c>
      <c r="P597" s="5">
        <f t="shared" si="101"/>
        <v>0</v>
      </c>
      <c r="Q597">
        <f t="shared" si="102"/>
        <v>0</v>
      </c>
      <c r="R597">
        <f t="shared" si="103"/>
        <v>0</v>
      </c>
      <c r="S597">
        <f t="shared" si="104"/>
        <v>0</v>
      </c>
      <c r="T597">
        <f t="shared" si="105"/>
        <v>0</v>
      </c>
      <c r="U597">
        <f t="shared" si="106"/>
        <v>0</v>
      </c>
      <c r="V597">
        <f t="shared" si="107"/>
        <v>0</v>
      </c>
      <c r="W597">
        <f t="shared" si="108"/>
        <v>0</v>
      </c>
      <c r="X597">
        <f t="shared" si="109"/>
        <v>0</v>
      </c>
      <c r="Y597">
        <f t="shared" si="110"/>
        <v>0</v>
      </c>
      <c r="Z597">
        <f t="shared" si="111"/>
        <v>0</v>
      </c>
      <c r="AA597" t="str">
        <f>INDEX('Priority activities'!$D$5:$D$86,MATCH('Database for analysis'!C597,'Priority activities'!$C$5:$C$86,0))</f>
        <v>n/a</v>
      </c>
    </row>
    <row r="598" spans="2:27" ht="16.5" thickTop="1" thickBot="1" x14ac:dyDescent="0.3">
      <c r="B598" t="s">
        <v>262</v>
      </c>
      <c r="C598" s="22" t="str">
        <f>'Costing inputs'!$C$323</f>
        <v>Procurement and forecasting meetings (PSC1.1)</v>
      </c>
      <c r="D598" s="22" t="str">
        <f>'Costing inputs'!$U$323</f>
        <v>Central level</v>
      </c>
      <c r="E598" s="22" t="str">
        <f>'Regional splits'!$F$14</f>
        <v>Luapula</v>
      </c>
      <c r="F598">
        <v>0</v>
      </c>
      <c r="G598">
        <v>0</v>
      </c>
      <c r="H598">
        <v>0</v>
      </c>
      <c r="I598">
        <v>0</v>
      </c>
      <c r="J598">
        <v>0</v>
      </c>
      <c r="K598">
        <v>0</v>
      </c>
      <c r="L598">
        <v>0</v>
      </c>
      <c r="M598">
        <v>0</v>
      </c>
      <c r="N598">
        <v>0</v>
      </c>
      <c r="O598">
        <v>0</v>
      </c>
      <c r="P598" s="5">
        <f t="shared" si="101"/>
        <v>0</v>
      </c>
      <c r="Q598">
        <f t="shared" si="102"/>
        <v>0</v>
      </c>
      <c r="R598">
        <f t="shared" si="103"/>
        <v>0</v>
      </c>
      <c r="S598">
        <f t="shared" si="104"/>
        <v>0</v>
      </c>
      <c r="T598">
        <f t="shared" si="105"/>
        <v>0</v>
      </c>
      <c r="U598">
        <f t="shared" si="106"/>
        <v>0</v>
      </c>
      <c r="V598">
        <f t="shared" si="107"/>
        <v>0</v>
      </c>
      <c r="W598">
        <f t="shared" si="108"/>
        <v>0</v>
      </c>
      <c r="X598">
        <f t="shared" si="109"/>
        <v>0</v>
      </c>
      <c r="Y598">
        <f t="shared" si="110"/>
        <v>0</v>
      </c>
      <c r="Z598">
        <f t="shared" si="111"/>
        <v>0</v>
      </c>
      <c r="AA598" t="str">
        <f>INDEX('Priority activities'!$D$5:$D$86,MATCH('Database for analysis'!C598,'Priority activities'!$C$5:$C$86,0))</f>
        <v>n/a</v>
      </c>
    </row>
    <row r="599" spans="2:27" ht="16.5" thickTop="1" thickBot="1" x14ac:dyDescent="0.3">
      <c r="B599" t="s">
        <v>262</v>
      </c>
      <c r="C599" s="22" t="str">
        <f>'Costing inputs'!$C$323</f>
        <v>Procurement and forecasting meetings (PSC1.1)</v>
      </c>
      <c r="D599" s="22" t="str">
        <f>'Costing inputs'!$U$323</f>
        <v>Central level</v>
      </c>
      <c r="E599" s="22" t="str">
        <f>'Regional splits'!$G$14</f>
        <v>Lusaka</v>
      </c>
      <c r="F599">
        <v>0</v>
      </c>
      <c r="G599">
        <v>0</v>
      </c>
      <c r="H599">
        <v>0</v>
      </c>
      <c r="I599">
        <v>0</v>
      </c>
      <c r="J599">
        <v>0</v>
      </c>
      <c r="K599">
        <v>0</v>
      </c>
      <c r="L599">
        <v>0</v>
      </c>
      <c r="M599">
        <v>0</v>
      </c>
      <c r="N599">
        <v>0</v>
      </c>
      <c r="O599">
        <v>0</v>
      </c>
      <c r="P599" s="5">
        <f t="shared" si="101"/>
        <v>0</v>
      </c>
      <c r="Q599">
        <f t="shared" si="102"/>
        <v>0</v>
      </c>
      <c r="R599">
        <f t="shared" si="103"/>
        <v>0</v>
      </c>
      <c r="S599">
        <f t="shared" si="104"/>
        <v>0</v>
      </c>
      <c r="T599">
        <f t="shared" si="105"/>
        <v>0</v>
      </c>
      <c r="U599">
        <f t="shared" si="106"/>
        <v>0</v>
      </c>
      <c r="V599">
        <f t="shared" si="107"/>
        <v>0</v>
      </c>
      <c r="W599">
        <f t="shared" si="108"/>
        <v>0</v>
      </c>
      <c r="X599">
        <f t="shared" si="109"/>
        <v>0</v>
      </c>
      <c r="Y599">
        <f t="shared" si="110"/>
        <v>0</v>
      </c>
      <c r="Z599">
        <f t="shared" si="111"/>
        <v>0</v>
      </c>
      <c r="AA599" t="str">
        <f>INDEX('Priority activities'!$D$5:$D$86,MATCH('Database for analysis'!C599,'Priority activities'!$C$5:$C$86,0))</f>
        <v>n/a</v>
      </c>
    </row>
    <row r="600" spans="2:27" ht="16.5" thickTop="1" thickBot="1" x14ac:dyDescent="0.3">
      <c r="B600" t="s">
        <v>262</v>
      </c>
      <c r="C600" s="22" t="str">
        <f>'Costing inputs'!$C$323</f>
        <v>Procurement and forecasting meetings (PSC1.1)</v>
      </c>
      <c r="D600" s="22" t="str">
        <f>'Costing inputs'!$U$323</f>
        <v>Central level</v>
      </c>
      <c r="E600" s="22" t="str">
        <f>'Regional splits'!$H$14</f>
        <v>Muchinga</v>
      </c>
      <c r="F600">
        <v>0</v>
      </c>
      <c r="G600">
        <v>0</v>
      </c>
      <c r="H600">
        <v>0</v>
      </c>
      <c r="I600">
        <v>0</v>
      </c>
      <c r="J600">
        <v>0</v>
      </c>
      <c r="K600">
        <v>0</v>
      </c>
      <c r="L600">
        <v>0</v>
      </c>
      <c r="M600">
        <v>0</v>
      </c>
      <c r="N600">
        <v>0</v>
      </c>
      <c r="O600">
        <v>0</v>
      </c>
      <c r="P600" s="5">
        <f t="shared" si="101"/>
        <v>0</v>
      </c>
      <c r="Q600">
        <f t="shared" si="102"/>
        <v>0</v>
      </c>
      <c r="R600">
        <f t="shared" si="103"/>
        <v>0</v>
      </c>
      <c r="S600">
        <f t="shared" si="104"/>
        <v>0</v>
      </c>
      <c r="T600">
        <f t="shared" si="105"/>
        <v>0</v>
      </c>
      <c r="U600">
        <f t="shared" si="106"/>
        <v>0</v>
      </c>
      <c r="V600">
        <f t="shared" si="107"/>
        <v>0</v>
      </c>
      <c r="W600">
        <f t="shared" si="108"/>
        <v>0</v>
      </c>
      <c r="X600">
        <f t="shared" si="109"/>
        <v>0</v>
      </c>
      <c r="Y600">
        <f t="shared" si="110"/>
        <v>0</v>
      </c>
      <c r="Z600">
        <f t="shared" si="111"/>
        <v>0</v>
      </c>
      <c r="AA600" t="str">
        <f>INDEX('Priority activities'!$D$5:$D$86,MATCH('Database for analysis'!C600,'Priority activities'!$C$5:$C$86,0))</f>
        <v>n/a</v>
      </c>
    </row>
    <row r="601" spans="2:27" ht="16.5" thickTop="1" thickBot="1" x14ac:dyDescent="0.3">
      <c r="B601" t="s">
        <v>262</v>
      </c>
      <c r="C601" s="22" t="str">
        <f>'Costing inputs'!$C$323</f>
        <v>Procurement and forecasting meetings (PSC1.1)</v>
      </c>
      <c r="D601" s="22" t="str">
        <f>'Costing inputs'!$U$323</f>
        <v>Central level</v>
      </c>
      <c r="E601" s="22" t="str">
        <f>'Regional splits'!$I$14</f>
        <v>Northern</v>
      </c>
      <c r="F601">
        <v>0</v>
      </c>
      <c r="G601">
        <v>0</v>
      </c>
      <c r="H601">
        <v>0</v>
      </c>
      <c r="I601">
        <v>0</v>
      </c>
      <c r="J601">
        <v>0</v>
      </c>
      <c r="K601">
        <v>0</v>
      </c>
      <c r="L601">
        <v>0</v>
      </c>
      <c r="M601">
        <v>0</v>
      </c>
      <c r="N601">
        <v>0</v>
      </c>
      <c r="O601">
        <v>0</v>
      </c>
      <c r="P601" s="5">
        <f t="shared" si="101"/>
        <v>0</v>
      </c>
      <c r="Q601">
        <f t="shared" si="102"/>
        <v>0</v>
      </c>
      <c r="R601">
        <f t="shared" si="103"/>
        <v>0</v>
      </c>
      <c r="S601">
        <f t="shared" si="104"/>
        <v>0</v>
      </c>
      <c r="T601">
        <f t="shared" si="105"/>
        <v>0</v>
      </c>
      <c r="U601">
        <f t="shared" si="106"/>
        <v>0</v>
      </c>
      <c r="V601">
        <f t="shared" si="107"/>
        <v>0</v>
      </c>
      <c r="W601">
        <f t="shared" si="108"/>
        <v>0</v>
      </c>
      <c r="X601">
        <f t="shared" si="109"/>
        <v>0</v>
      </c>
      <c r="Y601">
        <f t="shared" si="110"/>
        <v>0</v>
      </c>
      <c r="Z601">
        <f t="shared" si="111"/>
        <v>0</v>
      </c>
      <c r="AA601" t="str">
        <f>INDEX('Priority activities'!$D$5:$D$86,MATCH('Database for analysis'!C601,'Priority activities'!$C$5:$C$86,0))</f>
        <v>n/a</v>
      </c>
    </row>
    <row r="602" spans="2:27" ht="16.5" thickTop="1" thickBot="1" x14ac:dyDescent="0.3">
      <c r="B602" t="s">
        <v>262</v>
      </c>
      <c r="C602" s="22" t="str">
        <f>'Costing inputs'!$C$323</f>
        <v>Procurement and forecasting meetings (PSC1.1)</v>
      </c>
      <c r="D602" s="22" t="str">
        <f>'Costing inputs'!$U$323</f>
        <v>Central level</v>
      </c>
      <c r="E602" s="22" t="str">
        <f>'Regional splits'!$J$14</f>
        <v>North Western</v>
      </c>
      <c r="F602">
        <v>0</v>
      </c>
      <c r="G602">
        <v>0</v>
      </c>
      <c r="H602">
        <v>0</v>
      </c>
      <c r="I602">
        <v>0</v>
      </c>
      <c r="J602">
        <v>0</v>
      </c>
      <c r="K602">
        <v>0</v>
      </c>
      <c r="L602">
        <v>0</v>
      </c>
      <c r="M602">
        <v>0</v>
      </c>
      <c r="N602">
        <v>0</v>
      </c>
      <c r="O602">
        <v>0</v>
      </c>
      <c r="P602" s="5">
        <f t="shared" si="101"/>
        <v>0</v>
      </c>
      <c r="Q602">
        <f t="shared" si="102"/>
        <v>0</v>
      </c>
      <c r="R602">
        <f t="shared" si="103"/>
        <v>0</v>
      </c>
      <c r="S602">
        <f t="shared" si="104"/>
        <v>0</v>
      </c>
      <c r="T602">
        <f t="shared" si="105"/>
        <v>0</v>
      </c>
      <c r="U602">
        <f t="shared" si="106"/>
        <v>0</v>
      </c>
      <c r="V602">
        <f t="shared" si="107"/>
        <v>0</v>
      </c>
      <c r="W602">
        <f t="shared" si="108"/>
        <v>0</v>
      </c>
      <c r="X602">
        <f t="shared" si="109"/>
        <v>0</v>
      </c>
      <c r="Y602">
        <f t="shared" si="110"/>
        <v>0</v>
      </c>
      <c r="Z602">
        <f t="shared" si="111"/>
        <v>0</v>
      </c>
      <c r="AA602" t="str">
        <f>INDEX('Priority activities'!$D$5:$D$86,MATCH('Database for analysis'!C602,'Priority activities'!$C$5:$C$86,0))</f>
        <v>n/a</v>
      </c>
    </row>
    <row r="603" spans="2:27" ht="16.5" thickTop="1" thickBot="1" x14ac:dyDescent="0.3">
      <c r="B603" t="s">
        <v>262</v>
      </c>
      <c r="C603" s="22" t="str">
        <f>'Costing inputs'!$C$323</f>
        <v>Procurement and forecasting meetings (PSC1.1)</v>
      </c>
      <c r="D603" s="22" t="str">
        <f>'Costing inputs'!$U$323</f>
        <v>Central level</v>
      </c>
      <c r="E603" s="22" t="str">
        <f>'Regional splits'!$K$14</f>
        <v>Southern</v>
      </c>
      <c r="F603">
        <v>0</v>
      </c>
      <c r="G603">
        <v>0</v>
      </c>
      <c r="H603">
        <v>0</v>
      </c>
      <c r="I603">
        <v>0</v>
      </c>
      <c r="J603">
        <v>0</v>
      </c>
      <c r="K603">
        <v>0</v>
      </c>
      <c r="L603">
        <v>0</v>
      </c>
      <c r="M603">
        <v>0</v>
      </c>
      <c r="N603">
        <v>0</v>
      </c>
      <c r="O603">
        <v>0</v>
      </c>
      <c r="P603" s="5">
        <f t="shared" si="101"/>
        <v>0</v>
      </c>
      <c r="Q603">
        <f t="shared" si="102"/>
        <v>0</v>
      </c>
      <c r="R603">
        <f t="shared" si="103"/>
        <v>0</v>
      </c>
      <c r="S603">
        <f t="shared" si="104"/>
        <v>0</v>
      </c>
      <c r="T603">
        <f t="shared" si="105"/>
        <v>0</v>
      </c>
      <c r="U603">
        <f t="shared" si="106"/>
        <v>0</v>
      </c>
      <c r="V603">
        <f t="shared" si="107"/>
        <v>0</v>
      </c>
      <c r="W603">
        <f t="shared" si="108"/>
        <v>0</v>
      </c>
      <c r="X603">
        <f t="shared" si="109"/>
        <v>0</v>
      </c>
      <c r="Y603">
        <f t="shared" si="110"/>
        <v>0</v>
      </c>
      <c r="Z603">
        <f t="shared" si="111"/>
        <v>0</v>
      </c>
      <c r="AA603" t="str">
        <f>INDEX('Priority activities'!$D$5:$D$86,MATCH('Database for analysis'!C603,'Priority activities'!$C$5:$C$86,0))</f>
        <v>n/a</v>
      </c>
    </row>
    <row r="604" spans="2:27" ht="16.5" thickTop="1" thickBot="1" x14ac:dyDescent="0.3">
      <c r="B604" t="s">
        <v>262</v>
      </c>
      <c r="C604" s="22" t="str">
        <f>'Costing inputs'!$C$323</f>
        <v>Procurement and forecasting meetings (PSC1.1)</v>
      </c>
      <c r="D604" s="22" t="str">
        <f>'Costing inputs'!$U$323</f>
        <v>Central level</v>
      </c>
      <c r="E604" s="22" t="str">
        <f>'Regional splits'!$L$14</f>
        <v>Western</v>
      </c>
      <c r="F604">
        <v>0</v>
      </c>
      <c r="G604">
        <v>0</v>
      </c>
      <c r="H604">
        <v>0</v>
      </c>
      <c r="I604">
        <v>0</v>
      </c>
      <c r="J604">
        <v>0</v>
      </c>
      <c r="K604">
        <v>0</v>
      </c>
      <c r="L604">
        <v>0</v>
      </c>
      <c r="M604">
        <v>0</v>
      </c>
      <c r="N604">
        <v>0</v>
      </c>
      <c r="O604">
        <v>0</v>
      </c>
      <c r="P604" s="5">
        <f t="shared" si="101"/>
        <v>0</v>
      </c>
      <c r="Q604">
        <f t="shared" si="102"/>
        <v>0</v>
      </c>
      <c r="R604">
        <f t="shared" si="103"/>
        <v>0</v>
      </c>
      <c r="S604">
        <f t="shared" si="104"/>
        <v>0</v>
      </c>
      <c r="T604">
        <f t="shared" si="105"/>
        <v>0</v>
      </c>
      <c r="U604">
        <f t="shared" si="106"/>
        <v>0</v>
      </c>
      <c r="V604">
        <f t="shared" si="107"/>
        <v>0</v>
      </c>
      <c r="W604">
        <f t="shared" si="108"/>
        <v>0</v>
      </c>
      <c r="X604">
        <f t="shared" si="109"/>
        <v>0</v>
      </c>
      <c r="Y604">
        <f t="shared" si="110"/>
        <v>0</v>
      </c>
      <c r="Z604">
        <f t="shared" si="111"/>
        <v>0</v>
      </c>
      <c r="AA604" t="str">
        <f>INDEX('Priority activities'!$D$5:$D$86,MATCH('Database for analysis'!C604,'Priority activities'!$C$5:$C$86,0))</f>
        <v>n/a</v>
      </c>
    </row>
    <row r="605" spans="2:27" ht="16.5" thickTop="1" thickBot="1" x14ac:dyDescent="0.3">
      <c r="B605" t="s">
        <v>262</v>
      </c>
      <c r="C605" s="22" t="str">
        <f>'Costing inputs'!$C$323</f>
        <v>Procurement and forecasting meetings (PSC1.1)</v>
      </c>
      <c r="D605" s="22" t="str">
        <f>'Costing inputs'!$U$323</f>
        <v>Central level</v>
      </c>
      <c r="E605" s="22">
        <f>'Regional splits'!$M$14</f>
        <v>0</v>
      </c>
      <c r="F605">
        <v>0</v>
      </c>
      <c r="G605">
        <v>0</v>
      </c>
      <c r="H605">
        <v>0</v>
      </c>
      <c r="I605">
        <v>0</v>
      </c>
      <c r="J605">
        <v>0</v>
      </c>
      <c r="K605">
        <v>0</v>
      </c>
      <c r="L605">
        <v>0</v>
      </c>
      <c r="M605">
        <v>0</v>
      </c>
      <c r="N605">
        <v>0</v>
      </c>
      <c r="O605">
        <v>0</v>
      </c>
      <c r="P605" s="5">
        <f t="shared" si="101"/>
        <v>0</v>
      </c>
      <c r="Q605">
        <f t="shared" si="102"/>
        <v>0</v>
      </c>
      <c r="R605">
        <f t="shared" si="103"/>
        <v>0</v>
      </c>
      <c r="S605">
        <f t="shared" si="104"/>
        <v>0</v>
      </c>
      <c r="T605">
        <f t="shared" si="105"/>
        <v>0</v>
      </c>
      <c r="U605">
        <f t="shared" si="106"/>
        <v>0</v>
      </c>
      <c r="V605">
        <f t="shared" si="107"/>
        <v>0</v>
      </c>
      <c r="W605">
        <f t="shared" si="108"/>
        <v>0</v>
      </c>
      <c r="X605">
        <f t="shared" si="109"/>
        <v>0</v>
      </c>
      <c r="Y605">
        <f t="shared" si="110"/>
        <v>0</v>
      </c>
      <c r="Z605">
        <f t="shared" si="111"/>
        <v>0</v>
      </c>
      <c r="AA605" t="str">
        <f>INDEX('Priority activities'!$D$5:$D$86,MATCH('Database for analysis'!C605,'Priority activities'!$C$5:$C$86,0))</f>
        <v>n/a</v>
      </c>
    </row>
    <row r="606" spans="2:27" ht="16.5" thickTop="1" thickBot="1" x14ac:dyDescent="0.3">
      <c r="B606" t="s">
        <v>262</v>
      </c>
      <c r="C606" s="22" t="str">
        <f>'Costing inputs'!$C$323</f>
        <v>Procurement and forecasting meetings (PSC1.1)</v>
      </c>
      <c r="D606" s="22" t="str">
        <f>'Costing inputs'!$U$323</f>
        <v>Central level</v>
      </c>
      <c r="E606" s="22">
        <f>'Regional splits'!$N$14</f>
        <v>0</v>
      </c>
      <c r="F606">
        <v>0</v>
      </c>
      <c r="G606">
        <v>0</v>
      </c>
      <c r="H606">
        <v>0</v>
      </c>
      <c r="I606">
        <v>0</v>
      </c>
      <c r="J606">
        <v>0</v>
      </c>
      <c r="K606">
        <v>0</v>
      </c>
      <c r="L606">
        <v>0</v>
      </c>
      <c r="M606">
        <v>0</v>
      </c>
      <c r="N606">
        <v>0</v>
      </c>
      <c r="O606">
        <v>0</v>
      </c>
      <c r="P606" s="5">
        <f t="shared" si="101"/>
        <v>0</v>
      </c>
      <c r="Q606">
        <f t="shared" si="102"/>
        <v>0</v>
      </c>
      <c r="R606">
        <f t="shared" si="103"/>
        <v>0</v>
      </c>
      <c r="S606">
        <f t="shared" si="104"/>
        <v>0</v>
      </c>
      <c r="T606">
        <f t="shared" si="105"/>
        <v>0</v>
      </c>
      <c r="U606">
        <f t="shared" si="106"/>
        <v>0</v>
      </c>
      <c r="V606">
        <f t="shared" si="107"/>
        <v>0</v>
      </c>
      <c r="W606">
        <f t="shared" si="108"/>
        <v>0</v>
      </c>
      <c r="X606">
        <f t="shared" si="109"/>
        <v>0</v>
      </c>
      <c r="Y606">
        <f t="shared" si="110"/>
        <v>0</v>
      </c>
      <c r="Z606">
        <f t="shared" si="111"/>
        <v>0</v>
      </c>
      <c r="AA606" t="str">
        <f>INDEX('Priority activities'!$D$5:$D$86,MATCH('Database for analysis'!C606,'Priority activities'!$C$5:$C$86,0))</f>
        <v>n/a</v>
      </c>
    </row>
    <row r="607" spans="2:27" ht="16.5" thickTop="1" thickBot="1" x14ac:dyDescent="0.3">
      <c r="B607" t="s">
        <v>262</v>
      </c>
      <c r="C607" s="22" t="str">
        <f>'Costing inputs'!$C$323</f>
        <v>Procurement and forecasting meetings (PSC1.1)</v>
      </c>
      <c r="D607" s="22" t="str">
        <f>'Costing inputs'!$U$323</f>
        <v>Central level</v>
      </c>
      <c r="E607" s="22">
        <f>'Regional splits'!$O$14</f>
        <v>0</v>
      </c>
      <c r="F607">
        <v>0</v>
      </c>
      <c r="G607">
        <v>0</v>
      </c>
      <c r="H607">
        <v>0</v>
      </c>
      <c r="I607">
        <v>0</v>
      </c>
      <c r="J607">
        <v>0</v>
      </c>
      <c r="K607">
        <v>0</v>
      </c>
      <c r="L607">
        <v>0</v>
      </c>
      <c r="M607">
        <v>0</v>
      </c>
      <c r="N607">
        <v>0</v>
      </c>
      <c r="O607">
        <v>0</v>
      </c>
      <c r="P607" s="5">
        <f t="shared" si="101"/>
        <v>0</v>
      </c>
      <c r="Q607">
        <f t="shared" si="102"/>
        <v>0</v>
      </c>
      <c r="R607">
        <f t="shared" si="103"/>
        <v>0</v>
      </c>
      <c r="S607">
        <f t="shared" si="104"/>
        <v>0</v>
      </c>
      <c r="T607">
        <f t="shared" si="105"/>
        <v>0</v>
      </c>
      <c r="U607">
        <f t="shared" si="106"/>
        <v>0</v>
      </c>
      <c r="V607">
        <f t="shared" si="107"/>
        <v>0</v>
      </c>
      <c r="W607">
        <f t="shared" si="108"/>
        <v>0</v>
      </c>
      <c r="X607">
        <f t="shared" si="109"/>
        <v>0</v>
      </c>
      <c r="Y607">
        <f t="shared" si="110"/>
        <v>0</v>
      </c>
      <c r="Z607">
        <f t="shared" si="111"/>
        <v>0</v>
      </c>
      <c r="AA607" t="str">
        <f>INDEX('Priority activities'!$D$5:$D$86,MATCH('Database for analysis'!C607,'Priority activities'!$C$5:$C$86,0))</f>
        <v>n/a</v>
      </c>
    </row>
    <row r="608" spans="2:27" ht="16.5" thickTop="1" thickBot="1" x14ac:dyDescent="0.3">
      <c r="B608" t="s">
        <v>262</v>
      </c>
      <c r="C608" s="22" t="str">
        <f>'Costing inputs'!$C$323</f>
        <v>Procurement and forecasting meetings (PSC1.1)</v>
      </c>
      <c r="D608" s="22" t="str">
        <f>'Costing inputs'!$U$323</f>
        <v>Central level</v>
      </c>
      <c r="E608" s="22">
        <f>'Regional splits'!$P$14</f>
        <v>0</v>
      </c>
      <c r="F608">
        <v>0</v>
      </c>
      <c r="G608">
        <v>0</v>
      </c>
      <c r="H608">
        <v>0</v>
      </c>
      <c r="I608">
        <v>0</v>
      </c>
      <c r="J608">
        <v>0</v>
      </c>
      <c r="K608">
        <v>0</v>
      </c>
      <c r="L608">
        <v>0</v>
      </c>
      <c r="M608">
        <v>0</v>
      </c>
      <c r="N608">
        <v>0</v>
      </c>
      <c r="O608">
        <v>0</v>
      </c>
      <c r="P608" s="5">
        <f t="shared" si="101"/>
        <v>0</v>
      </c>
      <c r="Q608">
        <f t="shared" si="102"/>
        <v>0</v>
      </c>
      <c r="R608">
        <f t="shared" si="103"/>
        <v>0</v>
      </c>
      <c r="S608">
        <f t="shared" si="104"/>
        <v>0</v>
      </c>
      <c r="T608">
        <f t="shared" si="105"/>
        <v>0</v>
      </c>
      <c r="U608">
        <f t="shared" si="106"/>
        <v>0</v>
      </c>
      <c r="V608">
        <f t="shared" si="107"/>
        <v>0</v>
      </c>
      <c r="W608">
        <f t="shared" si="108"/>
        <v>0</v>
      </c>
      <c r="X608">
        <f t="shared" si="109"/>
        <v>0</v>
      </c>
      <c r="Y608">
        <f t="shared" si="110"/>
        <v>0</v>
      </c>
      <c r="Z608">
        <f t="shared" si="111"/>
        <v>0</v>
      </c>
      <c r="AA608" t="str">
        <f>INDEX('Priority activities'!$D$5:$D$86,MATCH('Database for analysis'!C608,'Priority activities'!$C$5:$C$86,0))</f>
        <v>n/a</v>
      </c>
    </row>
    <row r="609" spans="2:27" ht="16.5" thickTop="1" thickBot="1" x14ac:dyDescent="0.3">
      <c r="B609" t="s">
        <v>262</v>
      </c>
      <c r="C609" s="22" t="str">
        <f>'Costing inputs'!$C$323</f>
        <v>Procurement and forecasting meetings (PSC1.1)</v>
      </c>
      <c r="D609" s="22" t="str">
        <f>'Costing inputs'!$U$323</f>
        <v>Central level</v>
      </c>
      <c r="E609" s="22">
        <f>'Regional splits'!$Q$14</f>
        <v>0</v>
      </c>
      <c r="F609">
        <v>0</v>
      </c>
      <c r="G609">
        <v>0</v>
      </c>
      <c r="H609">
        <v>0</v>
      </c>
      <c r="I609">
        <v>0</v>
      </c>
      <c r="J609">
        <v>0</v>
      </c>
      <c r="K609">
        <v>0</v>
      </c>
      <c r="L609">
        <v>0</v>
      </c>
      <c r="M609">
        <v>0</v>
      </c>
      <c r="N609">
        <v>0</v>
      </c>
      <c r="O609">
        <v>0</v>
      </c>
      <c r="P609" s="5">
        <f t="shared" si="101"/>
        <v>0</v>
      </c>
      <c r="Q609">
        <f t="shared" si="102"/>
        <v>0</v>
      </c>
      <c r="R609">
        <f t="shared" si="103"/>
        <v>0</v>
      </c>
      <c r="S609">
        <f t="shared" si="104"/>
        <v>0</v>
      </c>
      <c r="T609">
        <f t="shared" si="105"/>
        <v>0</v>
      </c>
      <c r="U609">
        <f t="shared" si="106"/>
        <v>0</v>
      </c>
      <c r="V609">
        <f t="shared" si="107"/>
        <v>0</v>
      </c>
      <c r="W609">
        <f t="shared" si="108"/>
        <v>0</v>
      </c>
      <c r="X609">
        <f t="shared" si="109"/>
        <v>0</v>
      </c>
      <c r="Y609">
        <f t="shared" si="110"/>
        <v>0</v>
      </c>
      <c r="Z609">
        <f t="shared" si="111"/>
        <v>0</v>
      </c>
      <c r="AA609" t="str">
        <f>INDEX('Priority activities'!$D$5:$D$86,MATCH('Database for analysis'!C609,'Priority activities'!$C$5:$C$86,0))</f>
        <v>n/a</v>
      </c>
    </row>
    <row r="610" spans="2:27" ht="16.5" thickTop="1" thickBot="1" x14ac:dyDescent="0.3">
      <c r="B610" t="s">
        <v>262</v>
      </c>
      <c r="C610" s="22" t="str">
        <f>'Costing inputs'!$C$323</f>
        <v>Procurement and forecasting meetings (PSC1.1)</v>
      </c>
      <c r="D610" s="22" t="str">
        <f>'Costing inputs'!$U$323</f>
        <v>Central level</v>
      </c>
      <c r="E610" s="22" t="str">
        <f>'Regional splits'!$R$14</f>
        <v>National-level</v>
      </c>
      <c r="F610">
        <v>131841.17600000001</v>
      </c>
      <c r="G610">
        <v>131841.17600000001</v>
      </c>
      <c r="H610">
        <v>131841.17600000001</v>
      </c>
      <c r="I610">
        <v>131841.17600000001</v>
      </c>
      <c r="J610">
        <v>131841.17600000001</v>
      </c>
      <c r="K610">
        <v>131841.17600000001</v>
      </c>
      <c r="L610">
        <v>131841.17600000001</v>
      </c>
      <c r="M610">
        <v>131841.17600000001</v>
      </c>
      <c r="N610">
        <v>0</v>
      </c>
      <c r="O610">
        <v>0</v>
      </c>
      <c r="P610" s="5">
        <f t="shared" si="101"/>
        <v>1054729.4080000001</v>
      </c>
      <c r="Q610">
        <f t="shared" si="102"/>
        <v>131841.17600000001</v>
      </c>
      <c r="R610">
        <f t="shared" si="103"/>
        <v>131841.17600000001</v>
      </c>
      <c r="S610">
        <f t="shared" si="104"/>
        <v>131841.17600000001</v>
      </c>
      <c r="T610">
        <f t="shared" si="105"/>
        <v>131841.17600000001</v>
      </c>
      <c r="U610">
        <f t="shared" si="106"/>
        <v>131841.17600000001</v>
      </c>
      <c r="V610">
        <f t="shared" si="107"/>
        <v>131841.17600000001</v>
      </c>
      <c r="W610">
        <f t="shared" si="108"/>
        <v>131841.17600000001</v>
      </c>
      <c r="X610">
        <f t="shared" si="109"/>
        <v>131841.17600000001</v>
      </c>
      <c r="Y610">
        <f t="shared" si="110"/>
        <v>0</v>
      </c>
      <c r="Z610">
        <f t="shared" si="111"/>
        <v>0</v>
      </c>
      <c r="AA610" t="str">
        <f>INDEX('Priority activities'!$D$5:$D$86,MATCH('Database for analysis'!C610,'Priority activities'!$C$5:$C$86,0))</f>
        <v>n/a</v>
      </c>
    </row>
    <row r="611" spans="2:27" ht="16.5" thickTop="1" thickBot="1" x14ac:dyDescent="0.3">
      <c r="B611" t="s">
        <v>262</v>
      </c>
      <c r="C611" s="22" t="str">
        <f>'Costing inputs'!$C$330</f>
        <v>FP logistics training (PSC3.2)</v>
      </c>
      <c r="D611" s="22" t="str">
        <f>'Costing inputs'!$U$330</f>
        <v>Districts</v>
      </c>
      <c r="E611" s="22" t="str">
        <f>'Regional splits'!$C$14</f>
        <v>Central</v>
      </c>
      <c r="F611">
        <f t="array" ref="F611:O626">'Costing inputs'!S330*'Costing inputs'!AP330:AY330*TRANSPOSE('Costing inputs'!W330:AL330)</f>
        <v>83709.420266666653</v>
      </c>
      <c r="G611">
        <v>83709.420266666653</v>
      </c>
      <c r="H611">
        <v>83709.420266666653</v>
      </c>
      <c r="I611">
        <v>83709.420266666653</v>
      </c>
      <c r="J611">
        <v>83709.420266666653</v>
      </c>
      <c r="K611">
        <v>83709.420266666653</v>
      </c>
      <c r="L611">
        <v>83709.420266666653</v>
      </c>
      <c r="M611">
        <v>83709.420266666653</v>
      </c>
      <c r="N611">
        <v>0</v>
      </c>
      <c r="O611">
        <v>0</v>
      </c>
      <c r="P611" s="5">
        <f t="shared" si="101"/>
        <v>669675.36213333334</v>
      </c>
      <c r="Q611">
        <f t="shared" si="102"/>
        <v>83709.420266666653</v>
      </c>
      <c r="R611">
        <f t="shared" si="103"/>
        <v>83709.420266666653</v>
      </c>
      <c r="S611">
        <f t="shared" si="104"/>
        <v>83709.420266666653</v>
      </c>
      <c r="T611">
        <f t="shared" si="105"/>
        <v>83709.420266666653</v>
      </c>
      <c r="U611">
        <f t="shared" si="106"/>
        <v>83709.420266666653</v>
      </c>
      <c r="V611">
        <f t="shared" si="107"/>
        <v>83709.420266666653</v>
      </c>
      <c r="W611">
        <f t="shared" si="108"/>
        <v>83709.420266666653</v>
      </c>
      <c r="X611">
        <f t="shared" si="109"/>
        <v>83709.420266666653</v>
      </c>
      <c r="Y611">
        <f t="shared" si="110"/>
        <v>0</v>
      </c>
      <c r="Z611">
        <f t="shared" si="111"/>
        <v>0</v>
      </c>
      <c r="AA611" t="str">
        <f>INDEX('Priority activities'!$D$5:$D$86,MATCH('Database for analysis'!C611,'Priority activities'!$C$5:$C$86,0))</f>
        <v>n/a</v>
      </c>
    </row>
    <row r="612" spans="2:27" ht="16.5" thickTop="1" thickBot="1" x14ac:dyDescent="0.3">
      <c r="B612" t="s">
        <v>262</v>
      </c>
      <c r="C612" s="22" t="str">
        <f>'Costing inputs'!$C$330</f>
        <v>FP logistics training (PSC3.2)</v>
      </c>
      <c r="D612" s="22" t="str">
        <f>'Costing inputs'!$U$330</f>
        <v>Districts</v>
      </c>
      <c r="E612" s="22" t="str">
        <f>'Regional splits'!$D$14</f>
        <v>Copperbelt</v>
      </c>
      <c r="F612">
        <v>139515.70044444443</v>
      </c>
      <c r="G612">
        <v>139515.70044444443</v>
      </c>
      <c r="H612">
        <v>139515.70044444443</v>
      </c>
      <c r="I612">
        <v>139515.70044444443</v>
      </c>
      <c r="J612">
        <v>139515.70044444443</v>
      </c>
      <c r="K612">
        <v>139515.70044444443</v>
      </c>
      <c r="L612">
        <v>139515.70044444443</v>
      </c>
      <c r="M612">
        <v>139515.70044444443</v>
      </c>
      <c r="N612">
        <v>0</v>
      </c>
      <c r="O612">
        <v>0</v>
      </c>
      <c r="P612" s="5">
        <f t="shared" si="101"/>
        <v>1116125.6035555555</v>
      </c>
      <c r="Q612">
        <f t="shared" si="102"/>
        <v>139515.70044444443</v>
      </c>
      <c r="R612">
        <f t="shared" si="103"/>
        <v>139515.70044444443</v>
      </c>
      <c r="S612">
        <f t="shared" si="104"/>
        <v>139515.70044444443</v>
      </c>
      <c r="T612">
        <f t="shared" si="105"/>
        <v>139515.70044444443</v>
      </c>
      <c r="U612">
        <f t="shared" si="106"/>
        <v>139515.70044444443</v>
      </c>
      <c r="V612">
        <f t="shared" si="107"/>
        <v>139515.70044444443</v>
      </c>
      <c r="W612">
        <f t="shared" si="108"/>
        <v>139515.70044444443</v>
      </c>
      <c r="X612">
        <f t="shared" si="109"/>
        <v>139515.70044444443</v>
      </c>
      <c r="Y612">
        <f t="shared" si="110"/>
        <v>0</v>
      </c>
      <c r="Z612">
        <f t="shared" si="111"/>
        <v>0</v>
      </c>
      <c r="AA612" t="str">
        <f>INDEX('Priority activities'!$D$5:$D$86,MATCH('Database for analysis'!C612,'Priority activities'!$C$5:$C$86,0))</f>
        <v>n/a</v>
      </c>
    </row>
    <row r="613" spans="2:27" ht="16.5" thickTop="1" thickBot="1" x14ac:dyDescent="0.3">
      <c r="B613" t="s">
        <v>262</v>
      </c>
      <c r="C613" s="22" t="str">
        <f>'Costing inputs'!$C$330</f>
        <v>FP logistics training (PSC3.2)</v>
      </c>
      <c r="D613" s="22" t="str">
        <f>'Costing inputs'!$U$330</f>
        <v>Districts</v>
      </c>
      <c r="E613" s="22" t="str">
        <f>'Regional splits'!$E$14</f>
        <v>Eastern</v>
      </c>
      <c r="F613">
        <v>97660.990311111105</v>
      </c>
      <c r="G613">
        <v>97660.990311111105</v>
      </c>
      <c r="H613">
        <v>97660.990311111105</v>
      </c>
      <c r="I613">
        <v>97660.990311111105</v>
      </c>
      <c r="J613">
        <v>97660.990311111105</v>
      </c>
      <c r="K613">
        <v>97660.990311111105</v>
      </c>
      <c r="L613">
        <v>97660.990311111105</v>
      </c>
      <c r="M613">
        <v>97660.990311111105</v>
      </c>
      <c r="N613">
        <v>0</v>
      </c>
      <c r="O613">
        <v>0</v>
      </c>
      <c r="P613" s="5">
        <f t="shared" si="101"/>
        <v>781287.92248888884</v>
      </c>
      <c r="Q613">
        <f t="shared" si="102"/>
        <v>97660.990311111105</v>
      </c>
      <c r="R613">
        <f t="shared" si="103"/>
        <v>97660.990311111105</v>
      </c>
      <c r="S613">
        <f t="shared" si="104"/>
        <v>97660.990311111105</v>
      </c>
      <c r="T613">
        <f t="shared" si="105"/>
        <v>97660.990311111105</v>
      </c>
      <c r="U613">
        <f t="shared" si="106"/>
        <v>97660.990311111105</v>
      </c>
      <c r="V613">
        <f t="shared" si="107"/>
        <v>97660.990311111105</v>
      </c>
      <c r="W613">
        <f t="shared" si="108"/>
        <v>97660.990311111105</v>
      </c>
      <c r="X613">
        <f t="shared" si="109"/>
        <v>97660.990311111105</v>
      </c>
      <c r="Y613">
        <f t="shared" si="110"/>
        <v>0</v>
      </c>
      <c r="Z613">
        <f t="shared" si="111"/>
        <v>0</v>
      </c>
      <c r="AA613" t="str">
        <f>INDEX('Priority activities'!$D$5:$D$86,MATCH('Database for analysis'!C613,'Priority activities'!$C$5:$C$86,0))</f>
        <v>n/a</v>
      </c>
    </row>
    <row r="614" spans="2:27" ht="16.5" thickTop="1" thickBot="1" x14ac:dyDescent="0.3">
      <c r="B614" t="s">
        <v>262</v>
      </c>
      <c r="C614" s="22" t="str">
        <f>'Costing inputs'!$C$330</f>
        <v>FP logistics training (PSC3.2)</v>
      </c>
      <c r="D614" s="22" t="str">
        <f>'Costing inputs'!$U$330</f>
        <v>Districts</v>
      </c>
      <c r="E614" s="22" t="str">
        <f>'Regional splits'!$F$14</f>
        <v>Luapula</v>
      </c>
      <c r="F614">
        <v>97660.990311111105</v>
      </c>
      <c r="G614">
        <v>97660.990311111105</v>
      </c>
      <c r="H614">
        <v>97660.990311111105</v>
      </c>
      <c r="I614">
        <v>97660.990311111105</v>
      </c>
      <c r="J614">
        <v>97660.990311111105</v>
      </c>
      <c r="K614">
        <v>97660.990311111105</v>
      </c>
      <c r="L614">
        <v>97660.990311111105</v>
      </c>
      <c r="M614">
        <v>97660.990311111105</v>
      </c>
      <c r="N614">
        <v>0</v>
      </c>
      <c r="O614">
        <v>0</v>
      </c>
      <c r="P614" s="5">
        <f t="shared" si="101"/>
        <v>781287.92248888884</v>
      </c>
      <c r="Q614">
        <f t="shared" si="102"/>
        <v>97660.990311111105</v>
      </c>
      <c r="R614">
        <f t="shared" si="103"/>
        <v>97660.990311111105</v>
      </c>
      <c r="S614">
        <f t="shared" si="104"/>
        <v>97660.990311111105</v>
      </c>
      <c r="T614">
        <f t="shared" si="105"/>
        <v>97660.990311111105</v>
      </c>
      <c r="U614">
        <f t="shared" si="106"/>
        <v>97660.990311111105</v>
      </c>
      <c r="V614">
        <f t="shared" si="107"/>
        <v>97660.990311111105</v>
      </c>
      <c r="W614">
        <f t="shared" si="108"/>
        <v>97660.990311111105</v>
      </c>
      <c r="X614">
        <f t="shared" si="109"/>
        <v>97660.990311111105</v>
      </c>
      <c r="Y614">
        <f t="shared" si="110"/>
        <v>0</v>
      </c>
      <c r="Z614">
        <f t="shared" si="111"/>
        <v>0</v>
      </c>
      <c r="AA614" t="str">
        <f>INDEX('Priority activities'!$D$5:$D$86,MATCH('Database for analysis'!C614,'Priority activities'!$C$5:$C$86,0))</f>
        <v>n/a</v>
      </c>
    </row>
    <row r="615" spans="2:27" ht="16.5" thickTop="1" thickBot="1" x14ac:dyDescent="0.3">
      <c r="B615" t="s">
        <v>262</v>
      </c>
      <c r="C615" s="22" t="str">
        <f>'Costing inputs'!$C$330</f>
        <v>FP logistics training (PSC3.2)</v>
      </c>
      <c r="D615" s="22" t="str">
        <f>'Costing inputs'!$U$330</f>
        <v>Districts</v>
      </c>
      <c r="E615" s="22" t="str">
        <f>'Regional splits'!$G$14</f>
        <v>Lusaka</v>
      </c>
      <c r="F615">
        <v>55806.280177777771</v>
      </c>
      <c r="G615">
        <v>55806.280177777771</v>
      </c>
      <c r="H615">
        <v>55806.280177777771</v>
      </c>
      <c r="I615">
        <v>55806.280177777771</v>
      </c>
      <c r="J615">
        <v>55806.280177777771</v>
      </c>
      <c r="K615">
        <v>55806.280177777771</v>
      </c>
      <c r="L615">
        <v>55806.280177777771</v>
      </c>
      <c r="M615">
        <v>55806.280177777771</v>
      </c>
      <c r="N615">
        <v>0</v>
      </c>
      <c r="O615">
        <v>0</v>
      </c>
      <c r="P615" s="5">
        <f t="shared" si="101"/>
        <v>446450.24142222211</v>
      </c>
      <c r="Q615">
        <f t="shared" si="102"/>
        <v>55806.280177777771</v>
      </c>
      <c r="R615">
        <f t="shared" si="103"/>
        <v>55806.280177777771</v>
      </c>
      <c r="S615">
        <f t="shared" si="104"/>
        <v>55806.280177777771</v>
      </c>
      <c r="T615">
        <f t="shared" si="105"/>
        <v>55806.280177777771</v>
      </c>
      <c r="U615">
        <f t="shared" si="106"/>
        <v>55806.280177777771</v>
      </c>
      <c r="V615">
        <f t="shared" si="107"/>
        <v>55806.280177777771</v>
      </c>
      <c r="W615">
        <f t="shared" si="108"/>
        <v>55806.280177777771</v>
      </c>
      <c r="X615">
        <f t="shared" si="109"/>
        <v>55806.280177777771</v>
      </c>
      <c r="Y615">
        <f t="shared" si="110"/>
        <v>0</v>
      </c>
      <c r="Z615">
        <f t="shared" si="111"/>
        <v>0</v>
      </c>
      <c r="AA615" t="str">
        <f>INDEX('Priority activities'!$D$5:$D$86,MATCH('Database for analysis'!C615,'Priority activities'!$C$5:$C$86,0))</f>
        <v>n/a</v>
      </c>
    </row>
    <row r="616" spans="2:27" ht="16.5" thickTop="1" thickBot="1" x14ac:dyDescent="0.3">
      <c r="B616" t="s">
        <v>262</v>
      </c>
      <c r="C616" s="22" t="str">
        <f>'Costing inputs'!$C$330</f>
        <v>FP logistics training (PSC3.2)</v>
      </c>
      <c r="D616" s="22" t="str">
        <f>'Costing inputs'!$U$330</f>
        <v>Districts</v>
      </c>
      <c r="E616" s="22" t="str">
        <f>'Regional splits'!$H$14</f>
        <v>Muchinga</v>
      </c>
      <c r="F616">
        <v>69757.850222222216</v>
      </c>
      <c r="G616">
        <v>69757.850222222216</v>
      </c>
      <c r="H616">
        <v>69757.850222222216</v>
      </c>
      <c r="I616">
        <v>69757.850222222216</v>
      </c>
      <c r="J616">
        <v>69757.850222222216</v>
      </c>
      <c r="K616">
        <v>69757.850222222216</v>
      </c>
      <c r="L616">
        <v>69757.850222222216</v>
      </c>
      <c r="M616">
        <v>69757.850222222216</v>
      </c>
      <c r="N616">
        <v>0</v>
      </c>
      <c r="O616">
        <v>0</v>
      </c>
      <c r="P616" s="5">
        <f t="shared" si="101"/>
        <v>558062.80177777773</v>
      </c>
      <c r="Q616">
        <f t="shared" si="102"/>
        <v>69757.850222222216</v>
      </c>
      <c r="R616">
        <f t="shared" si="103"/>
        <v>69757.850222222216</v>
      </c>
      <c r="S616">
        <f t="shared" si="104"/>
        <v>69757.850222222216</v>
      </c>
      <c r="T616">
        <f t="shared" si="105"/>
        <v>69757.850222222216</v>
      </c>
      <c r="U616">
        <f t="shared" si="106"/>
        <v>69757.850222222216</v>
      </c>
      <c r="V616">
        <f t="shared" si="107"/>
        <v>69757.850222222216</v>
      </c>
      <c r="W616">
        <f t="shared" si="108"/>
        <v>69757.850222222216</v>
      </c>
      <c r="X616">
        <f t="shared" si="109"/>
        <v>69757.850222222216</v>
      </c>
      <c r="Y616">
        <f t="shared" si="110"/>
        <v>0</v>
      </c>
      <c r="Z616">
        <f t="shared" si="111"/>
        <v>0</v>
      </c>
      <c r="AA616" t="str">
        <f>INDEX('Priority activities'!$D$5:$D$86,MATCH('Database for analysis'!C616,'Priority activities'!$C$5:$C$86,0))</f>
        <v>n/a</v>
      </c>
    </row>
    <row r="617" spans="2:27" ht="16.5" thickTop="1" thickBot="1" x14ac:dyDescent="0.3">
      <c r="B617" t="s">
        <v>262</v>
      </c>
      <c r="C617" s="22" t="str">
        <f>'Costing inputs'!$C$330</f>
        <v>FP logistics training (PSC3.2)</v>
      </c>
      <c r="D617" s="22" t="str">
        <f>'Costing inputs'!$U$330</f>
        <v>Districts</v>
      </c>
      <c r="E617" s="22" t="str">
        <f>'Regional splits'!$I$14</f>
        <v>Northern</v>
      </c>
      <c r="F617">
        <v>111612.56035555554</v>
      </c>
      <c r="G617">
        <v>111612.56035555554</v>
      </c>
      <c r="H617">
        <v>111612.56035555554</v>
      </c>
      <c r="I617">
        <v>111612.56035555554</v>
      </c>
      <c r="J617">
        <v>111612.56035555554</v>
      </c>
      <c r="K617">
        <v>111612.56035555554</v>
      </c>
      <c r="L617">
        <v>111612.56035555554</v>
      </c>
      <c r="M617">
        <v>111612.56035555554</v>
      </c>
      <c r="N617">
        <v>0</v>
      </c>
      <c r="O617">
        <v>0</v>
      </c>
      <c r="P617" s="5">
        <f t="shared" si="101"/>
        <v>892900.48284444422</v>
      </c>
      <c r="Q617">
        <f t="shared" si="102"/>
        <v>111612.56035555554</v>
      </c>
      <c r="R617">
        <f t="shared" si="103"/>
        <v>111612.56035555554</v>
      </c>
      <c r="S617">
        <f t="shared" si="104"/>
        <v>111612.56035555554</v>
      </c>
      <c r="T617">
        <f t="shared" si="105"/>
        <v>111612.56035555554</v>
      </c>
      <c r="U617">
        <f t="shared" si="106"/>
        <v>111612.56035555554</v>
      </c>
      <c r="V617">
        <f t="shared" si="107"/>
        <v>111612.56035555554</v>
      </c>
      <c r="W617">
        <f t="shared" si="108"/>
        <v>111612.56035555554</v>
      </c>
      <c r="X617">
        <f t="shared" si="109"/>
        <v>111612.56035555554</v>
      </c>
      <c r="Y617">
        <f t="shared" si="110"/>
        <v>0</v>
      </c>
      <c r="Z617">
        <f t="shared" si="111"/>
        <v>0</v>
      </c>
      <c r="AA617" t="str">
        <f>INDEX('Priority activities'!$D$5:$D$86,MATCH('Database for analysis'!C617,'Priority activities'!$C$5:$C$86,0))</f>
        <v>n/a</v>
      </c>
    </row>
    <row r="618" spans="2:27" ht="16.5" thickTop="1" thickBot="1" x14ac:dyDescent="0.3">
      <c r="B618" t="s">
        <v>262</v>
      </c>
      <c r="C618" s="22" t="str">
        <f>'Costing inputs'!$C$330</f>
        <v>FP logistics training (PSC3.2)</v>
      </c>
      <c r="D618" s="22" t="str">
        <f>'Costing inputs'!$U$330</f>
        <v>Districts</v>
      </c>
      <c r="E618" s="22" t="str">
        <f>'Regional splits'!$J$14</f>
        <v>North Western</v>
      </c>
      <c r="F618">
        <v>97660.990311111105</v>
      </c>
      <c r="G618">
        <v>97660.990311111105</v>
      </c>
      <c r="H618">
        <v>97660.990311111105</v>
      </c>
      <c r="I618">
        <v>97660.990311111105</v>
      </c>
      <c r="J618">
        <v>97660.990311111105</v>
      </c>
      <c r="K618">
        <v>97660.990311111105</v>
      </c>
      <c r="L618">
        <v>97660.990311111105</v>
      </c>
      <c r="M618">
        <v>97660.990311111105</v>
      </c>
      <c r="N618">
        <v>0</v>
      </c>
      <c r="O618">
        <v>0</v>
      </c>
      <c r="P618" s="5">
        <f t="shared" si="101"/>
        <v>781287.92248888884</v>
      </c>
      <c r="Q618">
        <f t="shared" si="102"/>
        <v>97660.990311111105</v>
      </c>
      <c r="R618">
        <f t="shared" si="103"/>
        <v>97660.990311111105</v>
      </c>
      <c r="S618">
        <f t="shared" si="104"/>
        <v>97660.990311111105</v>
      </c>
      <c r="T618">
        <f t="shared" si="105"/>
        <v>97660.990311111105</v>
      </c>
      <c r="U618">
        <f t="shared" si="106"/>
        <v>97660.990311111105</v>
      </c>
      <c r="V618">
        <f t="shared" si="107"/>
        <v>97660.990311111105</v>
      </c>
      <c r="W618">
        <f t="shared" si="108"/>
        <v>97660.990311111105</v>
      </c>
      <c r="X618">
        <f t="shared" si="109"/>
        <v>97660.990311111105</v>
      </c>
      <c r="Y618">
        <f t="shared" si="110"/>
        <v>0</v>
      </c>
      <c r="Z618">
        <f t="shared" si="111"/>
        <v>0</v>
      </c>
      <c r="AA618" t="str">
        <f>INDEX('Priority activities'!$D$5:$D$86,MATCH('Database for analysis'!C618,'Priority activities'!$C$5:$C$86,0))</f>
        <v>n/a</v>
      </c>
    </row>
    <row r="619" spans="2:27" ht="16.5" thickTop="1" thickBot="1" x14ac:dyDescent="0.3">
      <c r="B619" t="s">
        <v>262</v>
      </c>
      <c r="C619" s="22" t="str">
        <f>'Costing inputs'!$C$330</f>
        <v>FP logistics training (PSC3.2)</v>
      </c>
      <c r="D619" s="22" t="str">
        <f>'Costing inputs'!$U$330</f>
        <v>Districts</v>
      </c>
      <c r="E619" s="22" t="str">
        <f>'Regional splits'!$K$14</f>
        <v>Southern</v>
      </c>
      <c r="F619">
        <v>153467.2704888889</v>
      </c>
      <c r="G619">
        <v>153467.2704888889</v>
      </c>
      <c r="H619">
        <v>153467.2704888889</v>
      </c>
      <c r="I619">
        <v>153467.2704888889</v>
      </c>
      <c r="J619">
        <v>153467.2704888889</v>
      </c>
      <c r="K619">
        <v>153467.2704888889</v>
      </c>
      <c r="L619">
        <v>153467.2704888889</v>
      </c>
      <c r="M619">
        <v>153467.2704888889</v>
      </c>
      <c r="N619">
        <v>0</v>
      </c>
      <c r="O619">
        <v>0</v>
      </c>
      <c r="P619" s="5">
        <f t="shared" si="101"/>
        <v>1227738.1639111114</v>
      </c>
      <c r="Q619">
        <f t="shared" si="102"/>
        <v>153467.2704888889</v>
      </c>
      <c r="R619">
        <f t="shared" si="103"/>
        <v>153467.2704888889</v>
      </c>
      <c r="S619">
        <f t="shared" si="104"/>
        <v>153467.2704888889</v>
      </c>
      <c r="T619">
        <f t="shared" si="105"/>
        <v>153467.2704888889</v>
      </c>
      <c r="U619">
        <f t="shared" si="106"/>
        <v>153467.2704888889</v>
      </c>
      <c r="V619">
        <f t="shared" si="107"/>
        <v>153467.2704888889</v>
      </c>
      <c r="W619">
        <f t="shared" si="108"/>
        <v>153467.2704888889</v>
      </c>
      <c r="X619">
        <f t="shared" si="109"/>
        <v>153467.2704888889</v>
      </c>
      <c r="Y619">
        <f t="shared" si="110"/>
        <v>0</v>
      </c>
      <c r="Z619">
        <f t="shared" si="111"/>
        <v>0</v>
      </c>
      <c r="AA619" t="str">
        <f>INDEX('Priority activities'!$D$5:$D$86,MATCH('Database for analysis'!C619,'Priority activities'!$C$5:$C$86,0))</f>
        <v>n/a</v>
      </c>
    </row>
    <row r="620" spans="2:27" ht="16.5" thickTop="1" thickBot="1" x14ac:dyDescent="0.3">
      <c r="B620" t="s">
        <v>262</v>
      </c>
      <c r="C620" s="22" t="str">
        <f>'Costing inputs'!$C$330</f>
        <v>FP logistics training (PSC3.2)</v>
      </c>
      <c r="D620" s="22" t="str">
        <f>'Costing inputs'!$U$330</f>
        <v>Districts</v>
      </c>
      <c r="E620" s="22" t="str">
        <f>'Regional splits'!$L$14</f>
        <v>Western</v>
      </c>
      <c r="F620">
        <v>97660.990311111105</v>
      </c>
      <c r="G620">
        <v>97660.990311111105</v>
      </c>
      <c r="H620">
        <v>97660.990311111105</v>
      </c>
      <c r="I620">
        <v>97660.990311111105</v>
      </c>
      <c r="J620">
        <v>97660.990311111105</v>
      </c>
      <c r="K620">
        <v>97660.990311111105</v>
      </c>
      <c r="L620">
        <v>97660.990311111105</v>
      </c>
      <c r="M620">
        <v>97660.990311111105</v>
      </c>
      <c r="N620">
        <v>0</v>
      </c>
      <c r="O620">
        <v>0</v>
      </c>
      <c r="P620" s="5">
        <f t="shared" si="101"/>
        <v>781287.92248888884</v>
      </c>
      <c r="Q620">
        <f t="shared" si="102"/>
        <v>97660.990311111105</v>
      </c>
      <c r="R620">
        <f t="shared" si="103"/>
        <v>97660.990311111105</v>
      </c>
      <c r="S620">
        <f t="shared" si="104"/>
        <v>97660.990311111105</v>
      </c>
      <c r="T620">
        <f t="shared" si="105"/>
        <v>97660.990311111105</v>
      </c>
      <c r="U620">
        <f t="shared" si="106"/>
        <v>97660.990311111105</v>
      </c>
      <c r="V620">
        <f t="shared" si="107"/>
        <v>97660.990311111105</v>
      </c>
      <c r="W620">
        <f t="shared" si="108"/>
        <v>97660.990311111105</v>
      </c>
      <c r="X620">
        <f t="shared" si="109"/>
        <v>97660.990311111105</v>
      </c>
      <c r="Y620">
        <f t="shared" si="110"/>
        <v>0</v>
      </c>
      <c r="Z620">
        <f t="shared" si="111"/>
        <v>0</v>
      </c>
      <c r="AA620" t="str">
        <f>INDEX('Priority activities'!$D$5:$D$86,MATCH('Database for analysis'!C620,'Priority activities'!$C$5:$C$86,0))</f>
        <v>n/a</v>
      </c>
    </row>
    <row r="621" spans="2:27" ht="16.5" thickTop="1" thickBot="1" x14ac:dyDescent="0.3">
      <c r="B621" t="s">
        <v>262</v>
      </c>
      <c r="C621" s="22" t="str">
        <f>'Costing inputs'!$C$330</f>
        <v>FP logistics training (PSC3.2)</v>
      </c>
      <c r="D621" s="22" t="str">
        <f>'Costing inputs'!$U$330</f>
        <v>Districts</v>
      </c>
      <c r="E621" s="22">
        <f>'Regional splits'!$M$14</f>
        <v>0</v>
      </c>
      <c r="F621">
        <v>0</v>
      </c>
      <c r="G621">
        <v>0</v>
      </c>
      <c r="H621">
        <v>0</v>
      </c>
      <c r="I621">
        <v>0</v>
      </c>
      <c r="J621">
        <v>0</v>
      </c>
      <c r="K621">
        <v>0</v>
      </c>
      <c r="L621">
        <v>0</v>
      </c>
      <c r="M621">
        <v>0</v>
      </c>
      <c r="N621">
        <v>0</v>
      </c>
      <c r="O621">
        <v>0</v>
      </c>
      <c r="P621" s="5">
        <f t="shared" si="101"/>
        <v>0</v>
      </c>
      <c r="Q621">
        <f t="shared" si="102"/>
        <v>0</v>
      </c>
      <c r="R621">
        <f t="shared" si="103"/>
        <v>0</v>
      </c>
      <c r="S621">
        <f t="shared" si="104"/>
        <v>0</v>
      </c>
      <c r="T621">
        <f t="shared" si="105"/>
        <v>0</v>
      </c>
      <c r="U621">
        <f t="shared" si="106"/>
        <v>0</v>
      </c>
      <c r="V621">
        <f t="shared" si="107"/>
        <v>0</v>
      </c>
      <c r="W621">
        <f t="shared" si="108"/>
        <v>0</v>
      </c>
      <c r="X621">
        <f t="shared" si="109"/>
        <v>0</v>
      </c>
      <c r="Y621">
        <f t="shared" si="110"/>
        <v>0</v>
      </c>
      <c r="Z621">
        <f t="shared" si="111"/>
        <v>0</v>
      </c>
      <c r="AA621" t="str">
        <f>INDEX('Priority activities'!$D$5:$D$86,MATCH('Database for analysis'!C621,'Priority activities'!$C$5:$C$86,0))</f>
        <v>n/a</v>
      </c>
    </row>
    <row r="622" spans="2:27" ht="16.5" thickTop="1" thickBot="1" x14ac:dyDescent="0.3">
      <c r="B622" t="s">
        <v>262</v>
      </c>
      <c r="C622" s="22" t="str">
        <f>'Costing inputs'!$C$330</f>
        <v>FP logistics training (PSC3.2)</v>
      </c>
      <c r="D622" s="22" t="str">
        <f>'Costing inputs'!$U$330</f>
        <v>Districts</v>
      </c>
      <c r="E622" s="22">
        <f>'Regional splits'!$N$14</f>
        <v>0</v>
      </c>
      <c r="F622">
        <v>0</v>
      </c>
      <c r="G622">
        <v>0</v>
      </c>
      <c r="H622">
        <v>0</v>
      </c>
      <c r="I622">
        <v>0</v>
      </c>
      <c r="J622">
        <v>0</v>
      </c>
      <c r="K622">
        <v>0</v>
      </c>
      <c r="L622">
        <v>0</v>
      </c>
      <c r="M622">
        <v>0</v>
      </c>
      <c r="N622">
        <v>0</v>
      </c>
      <c r="O622">
        <v>0</v>
      </c>
      <c r="P622" s="5">
        <f t="shared" si="101"/>
        <v>0</v>
      </c>
      <c r="Q622">
        <f t="shared" si="102"/>
        <v>0</v>
      </c>
      <c r="R622">
        <f t="shared" si="103"/>
        <v>0</v>
      </c>
      <c r="S622">
        <f t="shared" si="104"/>
        <v>0</v>
      </c>
      <c r="T622">
        <f t="shared" si="105"/>
        <v>0</v>
      </c>
      <c r="U622">
        <f t="shared" si="106"/>
        <v>0</v>
      </c>
      <c r="V622">
        <f t="shared" si="107"/>
        <v>0</v>
      </c>
      <c r="W622">
        <f t="shared" si="108"/>
        <v>0</v>
      </c>
      <c r="X622">
        <f t="shared" si="109"/>
        <v>0</v>
      </c>
      <c r="Y622">
        <f t="shared" si="110"/>
        <v>0</v>
      </c>
      <c r="Z622">
        <f t="shared" si="111"/>
        <v>0</v>
      </c>
      <c r="AA622" t="str">
        <f>INDEX('Priority activities'!$D$5:$D$86,MATCH('Database for analysis'!C622,'Priority activities'!$C$5:$C$86,0))</f>
        <v>n/a</v>
      </c>
    </row>
    <row r="623" spans="2:27" ht="16.5" thickTop="1" thickBot="1" x14ac:dyDescent="0.3">
      <c r="B623" t="s">
        <v>262</v>
      </c>
      <c r="C623" s="22" t="str">
        <f>'Costing inputs'!$C$330</f>
        <v>FP logistics training (PSC3.2)</v>
      </c>
      <c r="D623" s="22" t="str">
        <f>'Costing inputs'!$U$330</f>
        <v>Districts</v>
      </c>
      <c r="E623" s="22">
        <f>'Regional splits'!$O$14</f>
        <v>0</v>
      </c>
      <c r="F623">
        <v>0</v>
      </c>
      <c r="G623">
        <v>0</v>
      </c>
      <c r="H623">
        <v>0</v>
      </c>
      <c r="I623">
        <v>0</v>
      </c>
      <c r="J623">
        <v>0</v>
      </c>
      <c r="K623">
        <v>0</v>
      </c>
      <c r="L623">
        <v>0</v>
      </c>
      <c r="M623">
        <v>0</v>
      </c>
      <c r="N623">
        <v>0</v>
      </c>
      <c r="O623">
        <v>0</v>
      </c>
      <c r="P623" s="5">
        <f t="shared" si="101"/>
        <v>0</v>
      </c>
      <c r="Q623">
        <f t="shared" si="102"/>
        <v>0</v>
      </c>
      <c r="R623">
        <f t="shared" si="103"/>
        <v>0</v>
      </c>
      <c r="S623">
        <f t="shared" si="104"/>
        <v>0</v>
      </c>
      <c r="T623">
        <f t="shared" si="105"/>
        <v>0</v>
      </c>
      <c r="U623">
        <f t="shared" si="106"/>
        <v>0</v>
      </c>
      <c r="V623">
        <f t="shared" si="107"/>
        <v>0</v>
      </c>
      <c r="W623">
        <f t="shared" si="108"/>
        <v>0</v>
      </c>
      <c r="X623">
        <f t="shared" si="109"/>
        <v>0</v>
      </c>
      <c r="Y623">
        <f t="shared" si="110"/>
        <v>0</v>
      </c>
      <c r="Z623">
        <f t="shared" si="111"/>
        <v>0</v>
      </c>
      <c r="AA623" t="str">
        <f>INDEX('Priority activities'!$D$5:$D$86,MATCH('Database for analysis'!C623,'Priority activities'!$C$5:$C$86,0))</f>
        <v>n/a</v>
      </c>
    </row>
    <row r="624" spans="2:27" ht="16.5" thickTop="1" thickBot="1" x14ac:dyDescent="0.3">
      <c r="B624" t="s">
        <v>262</v>
      </c>
      <c r="C624" s="22" t="str">
        <f>'Costing inputs'!$C$330</f>
        <v>FP logistics training (PSC3.2)</v>
      </c>
      <c r="D624" s="22" t="str">
        <f>'Costing inputs'!$U$330</f>
        <v>Districts</v>
      </c>
      <c r="E624" s="22">
        <f>'Regional splits'!$P$14</f>
        <v>0</v>
      </c>
      <c r="F624">
        <v>0</v>
      </c>
      <c r="G624">
        <v>0</v>
      </c>
      <c r="H624">
        <v>0</v>
      </c>
      <c r="I624">
        <v>0</v>
      </c>
      <c r="J624">
        <v>0</v>
      </c>
      <c r="K624">
        <v>0</v>
      </c>
      <c r="L624">
        <v>0</v>
      </c>
      <c r="M624">
        <v>0</v>
      </c>
      <c r="N624">
        <v>0</v>
      </c>
      <c r="O624">
        <v>0</v>
      </c>
      <c r="P624" s="5">
        <f t="shared" si="101"/>
        <v>0</v>
      </c>
      <c r="Q624">
        <f t="shared" si="102"/>
        <v>0</v>
      </c>
      <c r="R624">
        <f t="shared" si="103"/>
        <v>0</v>
      </c>
      <c r="S624">
        <f t="shared" si="104"/>
        <v>0</v>
      </c>
      <c r="T624">
        <f t="shared" si="105"/>
        <v>0</v>
      </c>
      <c r="U624">
        <f t="shared" si="106"/>
        <v>0</v>
      </c>
      <c r="V624">
        <f t="shared" si="107"/>
        <v>0</v>
      </c>
      <c r="W624">
        <f t="shared" si="108"/>
        <v>0</v>
      </c>
      <c r="X624">
        <f t="shared" si="109"/>
        <v>0</v>
      </c>
      <c r="Y624">
        <f t="shared" si="110"/>
        <v>0</v>
      </c>
      <c r="Z624">
        <f t="shared" si="111"/>
        <v>0</v>
      </c>
      <c r="AA624" t="str">
        <f>INDEX('Priority activities'!$D$5:$D$86,MATCH('Database for analysis'!C624,'Priority activities'!$C$5:$C$86,0))</f>
        <v>n/a</v>
      </c>
    </row>
    <row r="625" spans="2:27" ht="16.5" thickTop="1" thickBot="1" x14ac:dyDescent="0.3">
      <c r="B625" t="s">
        <v>262</v>
      </c>
      <c r="C625" s="22" t="str">
        <f>'Costing inputs'!$C$330</f>
        <v>FP logistics training (PSC3.2)</v>
      </c>
      <c r="D625" s="22" t="str">
        <f>'Costing inputs'!$U$330</f>
        <v>Districts</v>
      </c>
      <c r="E625" s="22">
        <f>'Regional splits'!$Q$14</f>
        <v>0</v>
      </c>
      <c r="F625">
        <v>0</v>
      </c>
      <c r="G625">
        <v>0</v>
      </c>
      <c r="H625">
        <v>0</v>
      </c>
      <c r="I625">
        <v>0</v>
      </c>
      <c r="J625">
        <v>0</v>
      </c>
      <c r="K625">
        <v>0</v>
      </c>
      <c r="L625">
        <v>0</v>
      </c>
      <c r="M625">
        <v>0</v>
      </c>
      <c r="N625">
        <v>0</v>
      </c>
      <c r="O625">
        <v>0</v>
      </c>
      <c r="P625" s="5">
        <f t="shared" si="101"/>
        <v>0</v>
      </c>
      <c r="Q625">
        <f t="shared" si="102"/>
        <v>0</v>
      </c>
      <c r="R625">
        <f t="shared" si="103"/>
        <v>0</v>
      </c>
      <c r="S625">
        <f t="shared" si="104"/>
        <v>0</v>
      </c>
      <c r="T625">
        <f t="shared" si="105"/>
        <v>0</v>
      </c>
      <c r="U625">
        <f t="shared" si="106"/>
        <v>0</v>
      </c>
      <c r="V625">
        <f t="shared" si="107"/>
        <v>0</v>
      </c>
      <c r="W625">
        <f t="shared" si="108"/>
        <v>0</v>
      </c>
      <c r="X625">
        <f t="shared" si="109"/>
        <v>0</v>
      </c>
      <c r="Y625">
        <f t="shared" si="110"/>
        <v>0</v>
      </c>
      <c r="Z625">
        <f t="shared" si="111"/>
        <v>0</v>
      </c>
      <c r="AA625" t="str">
        <f>INDEX('Priority activities'!$D$5:$D$86,MATCH('Database for analysis'!C625,'Priority activities'!$C$5:$C$86,0))</f>
        <v>n/a</v>
      </c>
    </row>
    <row r="626" spans="2:27" ht="16.5" thickTop="1" thickBot="1" x14ac:dyDescent="0.3">
      <c r="B626" t="s">
        <v>262</v>
      </c>
      <c r="C626" s="22" t="str">
        <f>'Costing inputs'!$C$330</f>
        <v>FP logistics training (PSC3.2)</v>
      </c>
      <c r="D626" s="22" t="str">
        <f>'Costing inputs'!$U$330</f>
        <v>Districts</v>
      </c>
      <c r="E626" s="22" t="str">
        <f>'Regional splits'!$R$14</f>
        <v>National-level</v>
      </c>
      <c r="F626">
        <v>0</v>
      </c>
      <c r="G626">
        <v>0</v>
      </c>
      <c r="H626">
        <v>0</v>
      </c>
      <c r="I626">
        <v>0</v>
      </c>
      <c r="J626">
        <v>0</v>
      </c>
      <c r="K626">
        <v>0</v>
      </c>
      <c r="L626">
        <v>0</v>
      </c>
      <c r="M626">
        <v>0</v>
      </c>
      <c r="N626">
        <v>0</v>
      </c>
      <c r="O626">
        <v>0</v>
      </c>
      <c r="P626" s="5">
        <f t="shared" si="101"/>
        <v>0</v>
      </c>
      <c r="Q626">
        <f t="shared" si="102"/>
        <v>0</v>
      </c>
      <c r="R626">
        <f t="shared" si="103"/>
        <v>0</v>
      </c>
      <c r="S626">
        <f t="shared" si="104"/>
        <v>0</v>
      </c>
      <c r="T626">
        <f t="shared" si="105"/>
        <v>0</v>
      </c>
      <c r="U626">
        <f t="shared" si="106"/>
        <v>0</v>
      </c>
      <c r="V626">
        <f t="shared" si="107"/>
        <v>0</v>
      </c>
      <c r="W626">
        <f t="shared" si="108"/>
        <v>0</v>
      </c>
      <c r="X626">
        <f t="shared" si="109"/>
        <v>0</v>
      </c>
      <c r="Y626">
        <f t="shared" si="110"/>
        <v>0</v>
      </c>
      <c r="Z626">
        <f t="shared" si="111"/>
        <v>0</v>
      </c>
      <c r="AA626" t="str">
        <f>INDEX('Priority activities'!$D$5:$D$86,MATCH('Database for analysis'!C626,'Priority activities'!$C$5:$C$86,0))</f>
        <v>n/a</v>
      </c>
    </row>
    <row r="627" spans="2:27" ht="16.5" thickTop="1" thickBot="1" x14ac:dyDescent="0.3">
      <c r="B627" t="s">
        <v>262</v>
      </c>
      <c r="C627" s="22" t="str">
        <f>'Costing inputs'!$C$337</f>
        <v>Distribution equipment - initial investment (PSC4.1 and PSC4.2)</v>
      </c>
      <c r="D627" s="22" t="str">
        <f>'Costing inputs'!$U$337</f>
        <v>Evenly by province/region</v>
      </c>
      <c r="E627" s="22" t="str">
        <f>'Regional splits'!$C$14</f>
        <v>Central</v>
      </c>
      <c r="F627">
        <f t="array" ref="F627:O642">'Costing inputs'!S337*'Costing inputs'!AP337:AY337*TRANSPOSE('Costing inputs'!W337:AL337)</f>
        <v>12214.800000000001</v>
      </c>
      <c r="G627">
        <v>12214.800000000001</v>
      </c>
      <c r="H627">
        <v>12214.800000000001</v>
      </c>
      <c r="I627">
        <v>0</v>
      </c>
      <c r="J627">
        <v>0</v>
      </c>
      <c r="K627">
        <v>0</v>
      </c>
      <c r="L627">
        <v>0</v>
      </c>
      <c r="M627">
        <v>0</v>
      </c>
      <c r="N627">
        <v>0</v>
      </c>
      <c r="O627">
        <v>0</v>
      </c>
      <c r="P627" s="5">
        <f t="shared" si="101"/>
        <v>36644.400000000001</v>
      </c>
      <c r="Q627">
        <f t="shared" si="102"/>
        <v>12214.800000000001</v>
      </c>
      <c r="R627">
        <f t="shared" si="103"/>
        <v>12214.800000000001</v>
      </c>
      <c r="S627">
        <f t="shared" si="104"/>
        <v>12214.800000000001</v>
      </c>
      <c r="T627">
        <f t="shared" si="105"/>
        <v>0</v>
      </c>
      <c r="U627">
        <f t="shared" si="106"/>
        <v>0</v>
      </c>
      <c r="V627">
        <f t="shared" si="107"/>
        <v>0</v>
      </c>
      <c r="W627">
        <f t="shared" si="108"/>
        <v>0</v>
      </c>
      <c r="X627">
        <f t="shared" si="109"/>
        <v>0</v>
      </c>
      <c r="Y627">
        <f t="shared" si="110"/>
        <v>0</v>
      </c>
      <c r="Z627">
        <f t="shared" si="111"/>
        <v>0</v>
      </c>
      <c r="AA627" t="str">
        <f>INDEX('Priority activities'!$D$5:$D$86,MATCH('Database for analysis'!C627,'Priority activities'!$C$5:$C$86,0))</f>
        <v>Stockouts at service delivery points</v>
      </c>
    </row>
    <row r="628" spans="2:27" ht="16.5" thickTop="1" thickBot="1" x14ac:dyDescent="0.3">
      <c r="B628" t="s">
        <v>262</v>
      </c>
      <c r="C628" s="22" t="str">
        <f>'Costing inputs'!$C$337</f>
        <v>Distribution equipment - initial investment (PSC4.1 and PSC4.2)</v>
      </c>
      <c r="D628" s="22" t="str">
        <f>'Costing inputs'!$U$337</f>
        <v>Evenly by province/region</v>
      </c>
      <c r="E628" s="22" t="str">
        <f>'Regional splits'!$D$14</f>
        <v>Copperbelt</v>
      </c>
      <c r="F628">
        <v>12214.800000000001</v>
      </c>
      <c r="G628">
        <v>12214.800000000001</v>
      </c>
      <c r="H628">
        <v>12214.800000000001</v>
      </c>
      <c r="I628">
        <v>0</v>
      </c>
      <c r="J628">
        <v>0</v>
      </c>
      <c r="K628">
        <v>0</v>
      </c>
      <c r="L628">
        <v>0</v>
      </c>
      <c r="M628">
        <v>0</v>
      </c>
      <c r="N628">
        <v>0</v>
      </c>
      <c r="O628">
        <v>0</v>
      </c>
      <c r="P628" s="5">
        <f t="shared" si="101"/>
        <v>36644.400000000001</v>
      </c>
      <c r="Q628">
        <f t="shared" si="102"/>
        <v>12214.800000000001</v>
      </c>
      <c r="R628">
        <f t="shared" si="103"/>
        <v>12214.800000000001</v>
      </c>
      <c r="S628">
        <f t="shared" si="104"/>
        <v>12214.800000000001</v>
      </c>
      <c r="T628">
        <f t="shared" si="105"/>
        <v>0</v>
      </c>
      <c r="U628">
        <f t="shared" si="106"/>
        <v>0</v>
      </c>
      <c r="V628">
        <f t="shared" si="107"/>
        <v>0</v>
      </c>
      <c r="W628">
        <f t="shared" si="108"/>
        <v>0</v>
      </c>
      <c r="X628">
        <f t="shared" si="109"/>
        <v>0</v>
      </c>
      <c r="Y628">
        <f t="shared" si="110"/>
        <v>0</v>
      </c>
      <c r="Z628">
        <f t="shared" si="111"/>
        <v>0</v>
      </c>
      <c r="AA628" t="str">
        <f>INDEX('Priority activities'!$D$5:$D$86,MATCH('Database for analysis'!C628,'Priority activities'!$C$5:$C$86,0))</f>
        <v>Stockouts at service delivery points</v>
      </c>
    </row>
    <row r="629" spans="2:27" ht="16.5" thickTop="1" thickBot="1" x14ac:dyDescent="0.3">
      <c r="B629" t="s">
        <v>262</v>
      </c>
      <c r="C629" s="22" t="str">
        <f>'Costing inputs'!$C$337</f>
        <v>Distribution equipment - initial investment (PSC4.1 and PSC4.2)</v>
      </c>
      <c r="D629" s="22" t="str">
        <f>'Costing inputs'!$U$337</f>
        <v>Evenly by province/region</v>
      </c>
      <c r="E629" s="22" t="str">
        <f>'Regional splits'!$E$14</f>
        <v>Eastern</v>
      </c>
      <c r="F629">
        <v>12214.800000000001</v>
      </c>
      <c r="G629">
        <v>12214.800000000001</v>
      </c>
      <c r="H629">
        <v>12214.800000000001</v>
      </c>
      <c r="I629">
        <v>0</v>
      </c>
      <c r="J629">
        <v>0</v>
      </c>
      <c r="K629">
        <v>0</v>
      </c>
      <c r="L629">
        <v>0</v>
      </c>
      <c r="M629">
        <v>0</v>
      </c>
      <c r="N629">
        <v>0</v>
      </c>
      <c r="O629">
        <v>0</v>
      </c>
      <c r="P629" s="5">
        <f t="shared" si="101"/>
        <v>36644.400000000001</v>
      </c>
      <c r="Q629">
        <f t="shared" si="102"/>
        <v>12214.800000000001</v>
      </c>
      <c r="R629">
        <f t="shared" si="103"/>
        <v>12214.800000000001</v>
      </c>
      <c r="S629">
        <f t="shared" si="104"/>
        <v>12214.800000000001</v>
      </c>
      <c r="T629">
        <f t="shared" si="105"/>
        <v>0</v>
      </c>
      <c r="U629">
        <f t="shared" si="106"/>
        <v>0</v>
      </c>
      <c r="V629">
        <f t="shared" si="107"/>
        <v>0</v>
      </c>
      <c r="W629">
        <f t="shared" si="108"/>
        <v>0</v>
      </c>
      <c r="X629">
        <f t="shared" si="109"/>
        <v>0</v>
      </c>
      <c r="Y629">
        <f t="shared" si="110"/>
        <v>0</v>
      </c>
      <c r="Z629">
        <f t="shared" si="111"/>
        <v>0</v>
      </c>
      <c r="AA629" t="str">
        <f>INDEX('Priority activities'!$D$5:$D$86,MATCH('Database for analysis'!C629,'Priority activities'!$C$5:$C$86,0))</f>
        <v>Stockouts at service delivery points</v>
      </c>
    </row>
    <row r="630" spans="2:27" ht="16.5" thickTop="1" thickBot="1" x14ac:dyDescent="0.3">
      <c r="B630" t="s">
        <v>262</v>
      </c>
      <c r="C630" s="22" t="str">
        <f>'Costing inputs'!$C$337</f>
        <v>Distribution equipment - initial investment (PSC4.1 and PSC4.2)</v>
      </c>
      <c r="D630" s="22" t="str">
        <f>'Costing inputs'!$U$337</f>
        <v>Evenly by province/region</v>
      </c>
      <c r="E630" s="22" t="str">
        <f>'Regional splits'!$F$14</f>
        <v>Luapula</v>
      </c>
      <c r="F630">
        <v>12214.800000000001</v>
      </c>
      <c r="G630">
        <v>12214.800000000001</v>
      </c>
      <c r="H630">
        <v>12214.800000000001</v>
      </c>
      <c r="I630">
        <v>0</v>
      </c>
      <c r="J630">
        <v>0</v>
      </c>
      <c r="K630">
        <v>0</v>
      </c>
      <c r="L630">
        <v>0</v>
      </c>
      <c r="M630">
        <v>0</v>
      </c>
      <c r="N630">
        <v>0</v>
      </c>
      <c r="O630">
        <v>0</v>
      </c>
      <c r="P630" s="5">
        <f t="shared" si="101"/>
        <v>36644.400000000001</v>
      </c>
      <c r="Q630">
        <f t="shared" si="102"/>
        <v>12214.800000000001</v>
      </c>
      <c r="R630">
        <f t="shared" si="103"/>
        <v>12214.800000000001</v>
      </c>
      <c r="S630">
        <f t="shared" si="104"/>
        <v>12214.800000000001</v>
      </c>
      <c r="T630">
        <f t="shared" si="105"/>
        <v>0</v>
      </c>
      <c r="U630">
        <f t="shared" si="106"/>
        <v>0</v>
      </c>
      <c r="V630">
        <f t="shared" si="107"/>
        <v>0</v>
      </c>
      <c r="W630">
        <f t="shared" si="108"/>
        <v>0</v>
      </c>
      <c r="X630">
        <f t="shared" si="109"/>
        <v>0</v>
      </c>
      <c r="Y630">
        <f t="shared" si="110"/>
        <v>0</v>
      </c>
      <c r="Z630">
        <f t="shared" si="111"/>
        <v>0</v>
      </c>
      <c r="AA630" t="str">
        <f>INDEX('Priority activities'!$D$5:$D$86,MATCH('Database for analysis'!C630,'Priority activities'!$C$5:$C$86,0))</f>
        <v>Stockouts at service delivery points</v>
      </c>
    </row>
    <row r="631" spans="2:27" ht="16.5" thickTop="1" thickBot="1" x14ac:dyDescent="0.3">
      <c r="B631" t="s">
        <v>262</v>
      </c>
      <c r="C631" s="22" t="str">
        <f>'Costing inputs'!$C$337</f>
        <v>Distribution equipment - initial investment (PSC4.1 and PSC4.2)</v>
      </c>
      <c r="D631" s="22" t="str">
        <f>'Costing inputs'!$U$337</f>
        <v>Evenly by province/region</v>
      </c>
      <c r="E631" s="22" t="str">
        <f>'Regional splits'!$G$14</f>
        <v>Lusaka</v>
      </c>
      <c r="F631">
        <v>12214.800000000001</v>
      </c>
      <c r="G631">
        <v>12214.800000000001</v>
      </c>
      <c r="H631">
        <v>12214.800000000001</v>
      </c>
      <c r="I631">
        <v>0</v>
      </c>
      <c r="J631">
        <v>0</v>
      </c>
      <c r="K631">
        <v>0</v>
      </c>
      <c r="L631">
        <v>0</v>
      </c>
      <c r="M631">
        <v>0</v>
      </c>
      <c r="N631">
        <v>0</v>
      </c>
      <c r="O631">
        <v>0</v>
      </c>
      <c r="P631" s="5">
        <f t="shared" si="101"/>
        <v>36644.400000000001</v>
      </c>
      <c r="Q631">
        <f t="shared" si="102"/>
        <v>12214.800000000001</v>
      </c>
      <c r="R631">
        <f t="shared" si="103"/>
        <v>12214.800000000001</v>
      </c>
      <c r="S631">
        <f t="shared" si="104"/>
        <v>12214.800000000001</v>
      </c>
      <c r="T631">
        <f t="shared" si="105"/>
        <v>0</v>
      </c>
      <c r="U631">
        <f t="shared" si="106"/>
        <v>0</v>
      </c>
      <c r="V631">
        <f t="shared" si="107"/>
        <v>0</v>
      </c>
      <c r="W631">
        <f t="shared" si="108"/>
        <v>0</v>
      </c>
      <c r="X631">
        <f t="shared" si="109"/>
        <v>0</v>
      </c>
      <c r="Y631">
        <f t="shared" si="110"/>
        <v>0</v>
      </c>
      <c r="Z631">
        <f t="shared" si="111"/>
        <v>0</v>
      </c>
      <c r="AA631" t="str">
        <f>INDEX('Priority activities'!$D$5:$D$86,MATCH('Database for analysis'!C631,'Priority activities'!$C$5:$C$86,0))</f>
        <v>Stockouts at service delivery points</v>
      </c>
    </row>
    <row r="632" spans="2:27" ht="16.5" thickTop="1" thickBot="1" x14ac:dyDescent="0.3">
      <c r="B632" t="s">
        <v>262</v>
      </c>
      <c r="C632" s="22" t="str">
        <f>'Costing inputs'!$C$337</f>
        <v>Distribution equipment - initial investment (PSC4.1 and PSC4.2)</v>
      </c>
      <c r="D632" s="22" t="str">
        <f>'Costing inputs'!$U$337</f>
        <v>Evenly by province/region</v>
      </c>
      <c r="E632" s="22" t="str">
        <f>'Regional splits'!$H$14</f>
        <v>Muchinga</v>
      </c>
      <c r="F632">
        <v>12214.800000000001</v>
      </c>
      <c r="G632">
        <v>12214.800000000001</v>
      </c>
      <c r="H632">
        <v>12214.800000000001</v>
      </c>
      <c r="I632">
        <v>0</v>
      </c>
      <c r="J632">
        <v>0</v>
      </c>
      <c r="K632">
        <v>0</v>
      </c>
      <c r="L632">
        <v>0</v>
      </c>
      <c r="M632">
        <v>0</v>
      </c>
      <c r="N632">
        <v>0</v>
      </c>
      <c r="O632">
        <v>0</v>
      </c>
      <c r="P632" s="5">
        <f t="shared" si="101"/>
        <v>36644.400000000001</v>
      </c>
      <c r="Q632">
        <f t="shared" si="102"/>
        <v>12214.800000000001</v>
      </c>
      <c r="R632">
        <f t="shared" si="103"/>
        <v>12214.800000000001</v>
      </c>
      <c r="S632">
        <f t="shared" si="104"/>
        <v>12214.800000000001</v>
      </c>
      <c r="T632">
        <f t="shared" si="105"/>
        <v>0</v>
      </c>
      <c r="U632">
        <f t="shared" si="106"/>
        <v>0</v>
      </c>
      <c r="V632">
        <f t="shared" si="107"/>
        <v>0</v>
      </c>
      <c r="W632">
        <f t="shared" si="108"/>
        <v>0</v>
      </c>
      <c r="X632">
        <f t="shared" si="109"/>
        <v>0</v>
      </c>
      <c r="Y632">
        <f t="shared" si="110"/>
        <v>0</v>
      </c>
      <c r="Z632">
        <f t="shared" si="111"/>
        <v>0</v>
      </c>
      <c r="AA632" t="str">
        <f>INDEX('Priority activities'!$D$5:$D$86,MATCH('Database for analysis'!C632,'Priority activities'!$C$5:$C$86,0))</f>
        <v>Stockouts at service delivery points</v>
      </c>
    </row>
    <row r="633" spans="2:27" ht="16.5" thickTop="1" thickBot="1" x14ac:dyDescent="0.3">
      <c r="B633" t="s">
        <v>262</v>
      </c>
      <c r="C633" s="22" t="str">
        <f>'Costing inputs'!$C$337</f>
        <v>Distribution equipment - initial investment (PSC4.1 and PSC4.2)</v>
      </c>
      <c r="D633" s="22" t="str">
        <f>'Costing inputs'!$U$337</f>
        <v>Evenly by province/region</v>
      </c>
      <c r="E633" s="22" t="str">
        <f>'Regional splits'!$I$14</f>
        <v>Northern</v>
      </c>
      <c r="F633">
        <v>12214.800000000001</v>
      </c>
      <c r="G633">
        <v>12214.800000000001</v>
      </c>
      <c r="H633">
        <v>12214.800000000001</v>
      </c>
      <c r="I633">
        <v>0</v>
      </c>
      <c r="J633">
        <v>0</v>
      </c>
      <c r="K633">
        <v>0</v>
      </c>
      <c r="L633">
        <v>0</v>
      </c>
      <c r="M633">
        <v>0</v>
      </c>
      <c r="N633">
        <v>0</v>
      </c>
      <c r="O633">
        <v>0</v>
      </c>
      <c r="P633" s="5">
        <f t="shared" si="101"/>
        <v>36644.400000000001</v>
      </c>
      <c r="Q633">
        <f t="shared" si="102"/>
        <v>12214.800000000001</v>
      </c>
      <c r="R633">
        <f t="shared" si="103"/>
        <v>12214.800000000001</v>
      </c>
      <c r="S633">
        <f t="shared" si="104"/>
        <v>12214.800000000001</v>
      </c>
      <c r="T633">
        <f t="shared" si="105"/>
        <v>0</v>
      </c>
      <c r="U633">
        <f t="shared" si="106"/>
        <v>0</v>
      </c>
      <c r="V633">
        <f t="shared" si="107"/>
        <v>0</v>
      </c>
      <c r="W633">
        <f t="shared" si="108"/>
        <v>0</v>
      </c>
      <c r="X633">
        <f t="shared" si="109"/>
        <v>0</v>
      </c>
      <c r="Y633">
        <f t="shared" si="110"/>
        <v>0</v>
      </c>
      <c r="Z633">
        <f t="shared" si="111"/>
        <v>0</v>
      </c>
      <c r="AA633" t="str">
        <f>INDEX('Priority activities'!$D$5:$D$86,MATCH('Database for analysis'!C633,'Priority activities'!$C$5:$C$86,0))</f>
        <v>Stockouts at service delivery points</v>
      </c>
    </row>
    <row r="634" spans="2:27" ht="16.5" thickTop="1" thickBot="1" x14ac:dyDescent="0.3">
      <c r="B634" t="s">
        <v>262</v>
      </c>
      <c r="C634" s="22" t="str">
        <f>'Costing inputs'!$C$337</f>
        <v>Distribution equipment - initial investment (PSC4.1 and PSC4.2)</v>
      </c>
      <c r="D634" s="22" t="str">
        <f>'Costing inputs'!$U$337</f>
        <v>Evenly by province/region</v>
      </c>
      <c r="E634" s="22" t="str">
        <f>'Regional splits'!$J$14</f>
        <v>North Western</v>
      </c>
      <c r="F634">
        <v>12214.800000000001</v>
      </c>
      <c r="G634">
        <v>12214.800000000001</v>
      </c>
      <c r="H634">
        <v>12214.800000000001</v>
      </c>
      <c r="I634">
        <v>0</v>
      </c>
      <c r="J634">
        <v>0</v>
      </c>
      <c r="K634">
        <v>0</v>
      </c>
      <c r="L634">
        <v>0</v>
      </c>
      <c r="M634">
        <v>0</v>
      </c>
      <c r="N634">
        <v>0</v>
      </c>
      <c r="O634">
        <v>0</v>
      </c>
      <c r="P634" s="5">
        <f t="shared" si="101"/>
        <v>36644.400000000001</v>
      </c>
      <c r="Q634">
        <f t="shared" si="102"/>
        <v>12214.800000000001</v>
      </c>
      <c r="R634">
        <f t="shared" si="103"/>
        <v>12214.800000000001</v>
      </c>
      <c r="S634">
        <f t="shared" si="104"/>
        <v>12214.800000000001</v>
      </c>
      <c r="T634">
        <f t="shared" si="105"/>
        <v>0</v>
      </c>
      <c r="U634">
        <f t="shared" si="106"/>
        <v>0</v>
      </c>
      <c r="V634">
        <f t="shared" si="107"/>
        <v>0</v>
      </c>
      <c r="W634">
        <f t="shared" si="108"/>
        <v>0</v>
      </c>
      <c r="X634">
        <f t="shared" si="109"/>
        <v>0</v>
      </c>
      <c r="Y634">
        <f t="shared" si="110"/>
        <v>0</v>
      </c>
      <c r="Z634">
        <f t="shared" si="111"/>
        <v>0</v>
      </c>
      <c r="AA634" t="str">
        <f>INDEX('Priority activities'!$D$5:$D$86,MATCH('Database for analysis'!C634,'Priority activities'!$C$5:$C$86,0))</f>
        <v>Stockouts at service delivery points</v>
      </c>
    </row>
    <row r="635" spans="2:27" ht="16.5" thickTop="1" thickBot="1" x14ac:dyDescent="0.3">
      <c r="B635" t="s">
        <v>262</v>
      </c>
      <c r="C635" s="22" t="str">
        <f>'Costing inputs'!$C$337</f>
        <v>Distribution equipment - initial investment (PSC4.1 and PSC4.2)</v>
      </c>
      <c r="D635" s="22" t="str">
        <f>'Costing inputs'!$U$337</f>
        <v>Evenly by province/region</v>
      </c>
      <c r="E635" s="22" t="str">
        <f>'Regional splits'!$K$14</f>
        <v>Southern</v>
      </c>
      <c r="F635">
        <v>12214.800000000001</v>
      </c>
      <c r="G635">
        <v>12214.800000000001</v>
      </c>
      <c r="H635">
        <v>12214.800000000001</v>
      </c>
      <c r="I635">
        <v>0</v>
      </c>
      <c r="J635">
        <v>0</v>
      </c>
      <c r="K635">
        <v>0</v>
      </c>
      <c r="L635">
        <v>0</v>
      </c>
      <c r="M635">
        <v>0</v>
      </c>
      <c r="N635">
        <v>0</v>
      </c>
      <c r="O635">
        <v>0</v>
      </c>
      <c r="P635" s="5">
        <f t="shared" si="101"/>
        <v>36644.400000000001</v>
      </c>
      <c r="Q635">
        <f t="shared" si="102"/>
        <v>12214.800000000001</v>
      </c>
      <c r="R635">
        <f t="shared" si="103"/>
        <v>12214.800000000001</v>
      </c>
      <c r="S635">
        <f t="shared" si="104"/>
        <v>12214.800000000001</v>
      </c>
      <c r="T635">
        <f t="shared" si="105"/>
        <v>0</v>
      </c>
      <c r="U635">
        <f t="shared" si="106"/>
        <v>0</v>
      </c>
      <c r="V635">
        <f t="shared" si="107"/>
        <v>0</v>
      </c>
      <c r="W635">
        <f t="shared" si="108"/>
        <v>0</v>
      </c>
      <c r="X635">
        <f t="shared" si="109"/>
        <v>0</v>
      </c>
      <c r="Y635">
        <f t="shared" si="110"/>
        <v>0</v>
      </c>
      <c r="Z635">
        <f t="shared" si="111"/>
        <v>0</v>
      </c>
      <c r="AA635" t="str">
        <f>INDEX('Priority activities'!$D$5:$D$86,MATCH('Database for analysis'!C635,'Priority activities'!$C$5:$C$86,0))</f>
        <v>Stockouts at service delivery points</v>
      </c>
    </row>
    <row r="636" spans="2:27" ht="16.5" thickTop="1" thickBot="1" x14ac:dyDescent="0.3">
      <c r="B636" t="s">
        <v>262</v>
      </c>
      <c r="C636" s="22" t="str">
        <f>'Costing inputs'!$C$337</f>
        <v>Distribution equipment - initial investment (PSC4.1 and PSC4.2)</v>
      </c>
      <c r="D636" s="22" t="str">
        <f>'Costing inputs'!$U$337</f>
        <v>Evenly by province/region</v>
      </c>
      <c r="E636" s="22" t="str">
        <f>'Regional splits'!$L$14</f>
        <v>Western</v>
      </c>
      <c r="F636">
        <v>12214.800000000001</v>
      </c>
      <c r="G636">
        <v>12214.800000000001</v>
      </c>
      <c r="H636">
        <v>12214.800000000001</v>
      </c>
      <c r="I636">
        <v>0</v>
      </c>
      <c r="J636">
        <v>0</v>
      </c>
      <c r="K636">
        <v>0</v>
      </c>
      <c r="L636">
        <v>0</v>
      </c>
      <c r="M636">
        <v>0</v>
      </c>
      <c r="N636">
        <v>0</v>
      </c>
      <c r="O636">
        <v>0</v>
      </c>
      <c r="P636" s="5">
        <f t="shared" si="101"/>
        <v>36644.400000000001</v>
      </c>
      <c r="Q636">
        <f t="shared" si="102"/>
        <v>12214.800000000001</v>
      </c>
      <c r="R636">
        <f t="shared" si="103"/>
        <v>12214.800000000001</v>
      </c>
      <c r="S636">
        <f t="shared" si="104"/>
        <v>12214.800000000001</v>
      </c>
      <c r="T636">
        <f t="shared" si="105"/>
        <v>0</v>
      </c>
      <c r="U636">
        <f t="shared" si="106"/>
        <v>0</v>
      </c>
      <c r="V636">
        <f t="shared" si="107"/>
        <v>0</v>
      </c>
      <c r="W636">
        <f t="shared" si="108"/>
        <v>0</v>
      </c>
      <c r="X636">
        <f t="shared" si="109"/>
        <v>0</v>
      </c>
      <c r="Y636">
        <f t="shared" si="110"/>
        <v>0</v>
      </c>
      <c r="Z636">
        <f t="shared" si="111"/>
        <v>0</v>
      </c>
      <c r="AA636" t="str">
        <f>INDEX('Priority activities'!$D$5:$D$86,MATCH('Database for analysis'!C636,'Priority activities'!$C$5:$C$86,0))</f>
        <v>Stockouts at service delivery points</v>
      </c>
    </row>
    <row r="637" spans="2:27" ht="16.5" thickTop="1" thickBot="1" x14ac:dyDescent="0.3">
      <c r="B637" t="s">
        <v>262</v>
      </c>
      <c r="C637" s="22" t="str">
        <f>'Costing inputs'!$C$337</f>
        <v>Distribution equipment - initial investment (PSC4.1 and PSC4.2)</v>
      </c>
      <c r="D637" s="22" t="str">
        <f>'Costing inputs'!$U$337</f>
        <v>Evenly by province/region</v>
      </c>
      <c r="E637" s="22">
        <f>'Regional splits'!$M$14</f>
        <v>0</v>
      </c>
      <c r="F637">
        <v>0</v>
      </c>
      <c r="G637">
        <v>0</v>
      </c>
      <c r="H637">
        <v>0</v>
      </c>
      <c r="I637">
        <v>0</v>
      </c>
      <c r="J637">
        <v>0</v>
      </c>
      <c r="K637">
        <v>0</v>
      </c>
      <c r="L637">
        <v>0</v>
      </c>
      <c r="M637">
        <v>0</v>
      </c>
      <c r="N637">
        <v>0</v>
      </c>
      <c r="O637">
        <v>0</v>
      </c>
      <c r="P637" s="5">
        <f t="shared" si="101"/>
        <v>0</v>
      </c>
      <c r="Q637">
        <f t="shared" si="102"/>
        <v>0</v>
      </c>
      <c r="R637">
        <f t="shared" si="103"/>
        <v>0</v>
      </c>
      <c r="S637">
        <f t="shared" si="104"/>
        <v>0</v>
      </c>
      <c r="T637">
        <f t="shared" si="105"/>
        <v>0</v>
      </c>
      <c r="U637">
        <f t="shared" si="106"/>
        <v>0</v>
      </c>
      <c r="V637">
        <f t="shared" si="107"/>
        <v>0</v>
      </c>
      <c r="W637">
        <f t="shared" si="108"/>
        <v>0</v>
      </c>
      <c r="X637">
        <f t="shared" si="109"/>
        <v>0</v>
      </c>
      <c r="Y637">
        <f t="shared" si="110"/>
        <v>0</v>
      </c>
      <c r="Z637">
        <f t="shared" si="111"/>
        <v>0</v>
      </c>
      <c r="AA637" t="str">
        <f>INDEX('Priority activities'!$D$5:$D$86,MATCH('Database for analysis'!C637,'Priority activities'!$C$5:$C$86,0))</f>
        <v>Stockouts at service delivery points</v>
      </c>
    </row>
    <row r="638" spans="2:27" ht="16.5" thickTop="1" thickBot="1" x14ac:dyDescent="0.3">
      <c r="B638" t="s">
        <v>262</v>
      </c>
      <c r="C638" s="22" t="str">
        <f>'Costing inputs'!$C$337</f>
        <v>Distribution equipment - initial investment (PSC4.1 and PSC4.2)</v>
      </c>
      <c r="D638" s="22" t="str">
        <f>'Costing inputs'!$U$337</f>
        <v>Evenly by province/region</v>
      </c>
      <c r="E638" s="22">
        <f>'Regional splits'!$N$14</f>
        <v>0</v>
      </c>
      <c r="F638">
        <v>0</v>
      </c>
      <c r="G638">
        <v>0</v>
      </c>
      <c r="H638">
        <v>0</v>
      </c>
      <c r="I638">
        <v>0</v>
      </c>
      <c r="J638">
        <v>0</v>
      </c>
      <c r="K638">
        <v>0</v>
      </c>
      <c r="L638">
        <v>0</v>
      </c>
      <c r="M638">
        <v>0</v>
      </c>
      <c r="N638">
        <v>0</v>
      </c>
      <c r="O638">
        <v>0</v>
      </c>
      <c r="P638" s="5">
        <f t="shared" si="101"/>
        <v>0</v>
      </c>
      <c r="Q638">
        <f t="shared" si="102"/>
        <v>0</v>
      </c>
      <c r="R638">
        <f t="shared" si="103"/>
        <v>0</v>
      </c>
      <c r="S638">
        <f t="shared" si="104"/>
        <v>0</v>
      </c>
      <c r="T638">
        <f t="shared" si="105"/>
        <v>0</v>
      </c>
      <c r="U638">
        <f t="shared" si="106"/>
        <v>0</v>
      </c>
      <c r="V638">
        <f t="shared" si="107"/>
        <v>0</v>
      </c>
      <c r="W638">
        <f t="shared" si="108"/>
        <v>0</v>
      </c>
      <c r="X638">
        <f t="shared" si="109"/>
        <v>0</v>
      </c>
      <c r="Y638">
        <f t="shared" si="110"/>
        <v>0</v>
      </c>
      <c r="Z638">
        <f t="shared" si="111"/>
        <v>0</v>
      </c>
      <c r="AA638" t="str">
        <f>INDEX('Priority activities'!$D$5:$D$86,MATCH('Database for analysis'!C638,'Priority activities'!$C$5:$C$86,0))</f>
        <v>Stockouts at service delivery points</v>
      </c>
    </row>
    <row r="639" spans="2:27" ht="16.5" thickTop="1" thickBot="1" x14ac:dyDescent="0.3">
      <c r="B639" t="s">
        <v>262</v>
      </c>
      <c r="C639" s="22" t="str">
        <f>'Costing inputs'!$C$337</f>
        <v>Distribution equipment - initial investment (PSC4.1 and PSC4.2)</v>
      </c>
      <c r="D639" s="22" t="str">
        <f>'Costing inputs'!$U$337</f>
        <v>Evenly by province/region</v>
      </c>
      <c r="E639" s="22">
        <f>'Regional splits'!$O$14</f>
        <v>0</v>
      </c>
      <c r="F639">
        <v>0</v>
      </c>
      <c r="G639">
        <v>0</v>
      </c>
      <c r="H639">
        <v>0</v>
      </c>
      <c r="I639">
        <v>0</v>
      </c>
      <c r="J639">
        <v>0</v>
      </c>
      <c r="K639">
        <v>0</v>
      </c>
      <c r="L639">
        <v>0</v>
      </c>
      <c r="M639">
        <v>0</v>
      </c>
      <c r="N639">
        <v>0</v>
      </c>
      <c r="O639">
        <v>0</v>
      </c>
      <c r="P639" s="5">
        <f t="shared" si="101"/>
        <v>0</v>
      </c>
      <c r="Q639">
        <f t="shared" si="102"/>
        <v>0</v>
      </c>
      <c r="R639">
        <f t="shared" si="103"/>
        <v>0</v>
      </c>
      <c r="S639">
        <f t="shared" si="104"/>
        <v>0</v>
      </c>
      <c r="T639">
        <f t="shared" si="105"/>
        <v>0</v>
      </c>
      <c r="U639">
        <f t="shared" si="106"/>
        <v>0</v>
      </c>
      <c r="V639">
        <f t="shared" si="107"/>
        <v>0</v>
      </c>
      <c r="W639">
        <f t="shared" si="108"/>
        <v>0</v>
      </c>
      <c r="X639">
        <f t="shared" si="109"/>
        <v>0</v>
      </c>
      <c r="Y639">
        <f t="shared" si="110"/>
        <v>0</v>
      </c>
      <c r="Z639">
        <f t="shared" si="111"/>
        <v>0</v>
      </c>
      <c r="AA639" t="str">
        <f>INDEX('Priority activities'!$D$5:$D$86,MATCH('Database for analysis'!C639,'Priority activities'!$C$5:$C$86,0))</f>
        <v>Stockouts at service delivery points</v>
      </c>
    </row>
    <row r="640" spans="2:27" ht="16.5" thickTop="1" thickBot="1" x14ac:dyDescent="0.3">
      <c r="B640" t="s">
        <v>262</v>
      </c>
      <c r="C640" s="22" t="str">
        <f>'Costing inputs'!$C$337</f>
        <v>Distribution equipment - initial investment (PSC4.1 and PSC4.2)</v>
      </c>
      <c r="D640" s="22" t="str">
        <f>'Costing inputs'!$U$337</f>
        <v>Evenly by province/region</v>
      </c>
      <c r="E640" s="22">
        <f>'Regional splits'!$P$14</f>
        <v>0</v>
      </c>
      <c r="F640">
        <v>0</v>
      </c>
      <c r="G640">
        <v>0</v>
      </c>
      <c r="H640">
        <v>0</v>
      </c>
      <c r="I640">
        <v>0</v>
      </c>
      <c r="J640">
        <v>0</v>
      </c>
      <c r="K640">
        <v>0</v>
      </c>
      <c r="L640">
        <v>0</v>
      </c>
      <c r="M640">
        <v>0</v>
      </c>
      <c r="N640">
        <v>0</v>
      </c>
      <c r="O640">
        <v>0</v>
      </c>
      <c r="P640" s="5">
        <f t="shared" si="101"/>
        <v>0</v>
      </c>
      <c r="Q640">
        <f t="shared" si="102"/>
        <v>0</v>
      </c>
      <c r="R640">
        <f t="shared" si="103"/>
        <v>0</v>
      </c>
      <c r="S640">
        <f t="shared" si="104"/>
        <v>0</v>
      </c>
      <c r="T640">
        <f t="shared" si="105"/>
        <v>0</v>
      </c>
      <c r="U640">
        <f t="shared" si="106"/>
        <v>0</v>
      </c>
      <c r="V640">
        <f t="shared" si="107"/>
        <v>0</v>
      </c>
      <c r="W640">
        <f t="shared" si="108"/>
        <v>0</v>
      </c>
      <c r="X640">
        <f t="shared" si="109"/>
        <v>0</v>
      </c>
      <c r="Y640">
        <f t="shared" si="110"/>
        <v>0</v>
      </c>
      <c r="Z640">
        <f t="shared" si="111"/>
        <v>0</v>
      </c>
      <c r="AA640" t="str">
        <f>INDEX('Priority activities'!$D$5:$D$86,MATCH('Database for analysis'!C640,'Priority activities'!$C$5:$C$86,0))</f>
        <v>Stockouts at service delivery points</v>
      </c>
    </row>
    <row r="641" spans="2:27" ht="16.5" thickTop="1" thickBot="1" x14ac:dyDescent="0.3">
      <c r="B641" t="s">
        <v>262</v>
      </c>
      <c r="C641" s="22" t="str">
        <f>'Costing inputs'!$C$337</f>
        <v>Distribution equipment - initial investment (PSC4.1 and PSC4.2)</v>
      </c>
      <c r="D641" s="22" t="str">
        <f>'Costing inputs'!$U$337</f>
        <v>Evenly by province/region</v>
      </c>
      <c r="E641" s="22">
        <f>'Regional splits'!$Q$14</f>
        <v>0</v>
      </c>
      <c r="F641">
        <v>0</v>
      </c>
      <c r="G641">
        <v>0</v>
      </c>
      <c r="H641">
        <v>0</v>
      </c>
      <c r="I641">
        <v>0</v>
      </c>
      <c r="J641">
        <v>0</v>
      </c>
      <c r="K641">
        <v>0</v>
      </c>
      <c r="L641">
        <v>0</v>
      </c>
      <c r="M641">
        <v>0</v>
      </c>
      <c r="N641">
        <v>0</v>
      </c>
      <c r="O641">
        <v>0</v>
      </c>
      <c r="P641" s="5">
        <f t="shared" si="101"/>
        <v>0</v>
      </c>
      <c r="Q641">
        <f t="shared" si="102"/>
        <v>0</v>
      </c>
      <c r="R641">
        <f t="shared" si="103"/>
        <v>0</v>
      </c>
      <c r="S641">
        <f t="shared" si="104"/>
        <v>0</v>
      </c>
      <c r="T641">
        <f t="shared" si="105"/>
        <v>0</v>
      </c>
      <c r="U641">
        <f t="shared" si="106"/>
        <v>0</v>
      </c>
      <c r="V641">
        <f t="shared" si="107"/>
        <v>0</v>
      </c>
      <c r="W641">
        <f t="shared" si="108"/>
        <v>0</v>
      </c>
      <c r="X641">
        <f t="shared" si="109"/>
        <v>0</v>
      </c>
      <c r="Y641">
        <f t="shared" si="110"/>
        <v>0</v>
      </c>
      <c r="Z641">
        <f t="shared" si="111"/>
        <v>0</v>
      </c>
      <c r="AA641" t="str">
        <f>INDEX('Priority activities'!$D$5:$D$86,MATCH('Database for analysis'!C641,'Priority activities'!$C$5:$C$86,0))</f>
        <v>Stockouts at service delivery points</v>
      </c>
    </row>
    <row r="642" spans="2:27" ht="16.5" thickTop="1" thickBot="1" x14ac:dyDescent="0.3">
      <c r="B642" t="s">
        <v>262</v>
      </c>
      <c r="C642" s="22" t="str">
        <f>'Costing inputs'!$C$337</f>
        <v>Distribution equipment - initial investment (PSC4.1 and PSC4.2)</v>
      </c>
      <c r="D642" s="22" t="str">
        <f>'Costing inputs'!$U$337</f>
        <v>Evenly by province/region</v>
      </c>
      <c r="E642" s="22" t="str">
        <f>'Regional splits'!$R$14</f>
        <v>National-level</v>
      </c>
      <c r="F642">
        <v>0</v>
      </c>
      <c r="G642">
        <v>0</v>
      </c>
      <c r="H642">
        <v>0</v>
      </c>
      <c r="I642">
        <v>0</v>
      </c>
      <c r="J642">
        <v>0</v>
      </c>
      <c r="K642">
        <v>0</v>
      </c>
      <c r="L642">
        <v>0</v>
      </c>
      <c r="M642">
        <v>0</v>
      </c>
      <c r="N642">
        <v>0</v>
      </c>
      <c r="O642">
        <v>0</v>
      </c>
      <c r="P642" s="5">
        <f t="shared" si="101"/>
        <v>0</v>
      </c>
      <c r="Q642">
        <f t="shared" si="102"/>
        <v>0</v>
      </c>
      <c r="R642">
        <f t="shared" si="103"/>
        <v>0</v>
      </c>
      <c r="S642">
        <f t="shared" si="104"/>
        <v>0</v>
      </c>
      <c r="T642">
        <f t="shared" si="105"/>
        <v>0</v>
      </c>
      <c r="U642">
        <f t="shared" si="106"/>
        <v>0</v>
      </c>
      <c r="V642">
        <f t="shared" si="107"/>
        <v>0</v>
      </c>
      <c r="W642">
        <f t="shared" si="108"/>
        <v>0</v>
      </c>
      <c r="X642">
        <f t="shared" si="109"/>
        <v>0</v>
      </c>
      <c r="Y642">
        <f t="shared" si="110"/>
        <v>0</v>
      </c>
      <c r="Z642">
        <f t="shared" si="111"/>
        <v>0</v>
      </c>
      <c r="AA642" t="str">
        <f>INDEX('Priority activities'!$D$5:$D$86,MATCH('Database for analysis'!C642,'Priority activities'!$C$5:$C$86,0))</f>
        <v>Stockouts at service delivery points</v>
      </c>
    </row>
    <row r="643" spans="2:27" ht="16.5" thickTop="1" thickBot="1" x14ac:dyDescent="0.3">
      <c r="B643" t="s">
        <v>262</v>
      </c>
      <c r="C643" s="22" t="str">
        <f>'Costing inputs'!$C$340</f>
        <v>Distribution equipment - ongoing costs (n/a)</v>
      </c>
      <c r="D643" s="22" t="str">
        <f>'Costing inputs'!$U$340</f>
        <v>Central level</v>
      </c>
      <c r="E643" s="22" t="str">
        <f>'Regional splits'!$C$14</f>
        <v>Central</v>
      </c>
      <c r="F643">
        <f t="array" ref="F643:O658">'Costing inputs'!S340*'Costing inputs'!AP340:AY340*TRANSPOSE('Costing inputs'!W340:AL340)</f>
        <v>0</v>
      </c>
      <c r="G643">
        <v>0</v>
      </c>
      <c r="H643">
        <v>0</v>
      </c>
      <c r="I643">
        <v>0</v>
      </c>
      <c r="J643">
        <v>0</v>
      </c>
      <c r="K643">
        <v>0</v>
      </c>
      <c r="L643">
        <v>0</v>
      </c>
      <c r="M643">
        <v>0</v>
      </c>
      <c r="N643">
        <v>0</v>
      </c>
      <c r="O643">
        <v>0</v>
      </c>
      <c r="P643" s="5">
        <f t="shared" si="101"/>
        <v>0</v>
      </c>
      <c r="Q643">
        <f t="shared" si="102"/>
        <v>0</v>
      </c>
      <c r="R643">
        <f t="shared" si="103"/>
        <v>0</v>
      </c>
      <c r="S643">
        <f t="shared" si="104"/>
        <v>0</v>
      </c>
      <c r="T643">
        <f t="shared" si="105"/>
        <v>0</v>
      </c>
      <c r="U643">
        <f t="shared" si="106"/>
        <v>0</v>
      </c>
      <c r="V643">
        <f t="shared" si="107"/>
        <v>0</v>
      </c>
      <c r="W643">
        <f t="shared" si="108"/>
        <v>0</v>
      </c>
      <c r="X643">
        <f t="shared" si="109"/>
        <v>0</v>
      </c>
      <c r="Y643">
        <f t="shared" si="110"/>
        <v>0</v>
      </c>
      <c r="Z643">
        <f t="shared" si="111"/>
        <v>0</v>
      </c>
      <c r="AA643" t="str">
        <f>INDEX('Priority activities'!$D$5:$D$86,MATCH('Database for analysis'!C643,'Priority activities'!$C$5:$C$86,0))</f>
        <v>n/a</v>
      </c>
    </row>
    <row r="644" spans="2:27" ht="16.5" thickTop="1" thickBot="1" x14ac:dyDescent="0.3">
      <c r="B644" t="s">
        <v>262</v>
      </c>
      <c r="C644" s="22" t="str">
        <f>'Costing inputs'!$C$340</f>
        <v>Distribution equipment - ongoing costs (n/a)</v>
      </c>
      <c r="D644" s="22" t="str">
        <f>'Costing inputs'!$U$340</f>
        <v>Central level</v>
      </c>
      <c r="E644" s="22" t="str">
        <f>'Regional splits'!$D$14</f>
        <v>Copperbelt</v>
      </c>
      <c r="F644">
        <v>0</v>
      </c>
      <c r="G644">
        <v>0</v>
      </c>
      <c r="H644">
        <v>0</v>
      </c>
      <c r="I644">
        <v>0</v>
      </c>
      <c r="J644">
        <v>0</v>
      </c>
      <c r="K644">
        <v>0</v>
      </c>
      <c r="L644">
        <v>0</v>
      </c>
      <c r="M644">
        <v>0</v>
      </c>
      <c r="N644">
        <v>0</v>
      </c>
      <c r="O644">
        <v>0</v>
      </c>
      <c r="P644" s="5">
        <f t="shared" ref="P644:P707" si="112">SUMIF(F644:O644,"&lt;&gt;#N/A")</f>
        <v>0</v>
      </c>
      <c r="Q644">
        <f t="shared" ref="Q644:Q707" si="113">IF(ISNA(F644),0,F644)</f>
        <v>0</v>
      </c>
      <c r="R644">
        <f t="shared" ref="R644:R707" si="114">IF(ISNA(G644),0,G644)</f>
        <v>0</v>
      </c>
      <c r="S644">
        <f t="shared" ref="S644:S707" si="115">IF(ISNA(H644),0,H644)</f>
        <v>0</v>
      </c>
      <c r="T644">
        <f t="shared" ref="T644:T707" si="116">IF(ISNA(I644),0,I644)</f>
        <v>0</v>
      </c>
      <c r="U644">
        <f t="shared" ref="U644:U707" si="117">IF(ISNA(J644),0,J644)</f>
        <v>0</v>
      </c>
      <c r="V644">
        <f t="shared" ref="V644:V707" si="118">IF(ISNA(K644),0,K644)</f>
        <v>0</v>
      </c>
      <c r="W644">
        <f t="shared" ref="W644:W707" si="119">IF(ISNA(L644),0,L644)</f>
        <v>0</v>
      </c>
      <c r="X644">
        <f t="shared" ref="X644:X707" si="120">IF(ISNA(M644),0,M644)</f>
        <v>0</v>
      </c>
      <c r="Y644">
        <f t="shared" ref="Y644:Y707" si="121">IF(ISNA(N644),0,N644)</f>
        <v>0</v>
      </c>
      <c r="Z644">
        <f t="shared" ref="Z644:Z707" si="122">IF(ISNA(O644),0,O644)</f>
        <v>0</v>
      </c>
      <c r="AA644" t="str">
        <f>INDEX('Priority activities'!$D$5:$D$86,MATCH('Database for analysis'!C644,'Priority activities'!$C$5:$C$86,0))</f>
        <v>n/a</v>
      </c>
    </row>
    <row r="645" spans="2:27" ht="16.5" thickTop="1" thickBot="1" x14ac:dyDescent="0.3">
      <c r="B645" t="s">
        <v>262</v>
      </c>
      <c r="C645" s="22" t="str">
        <f>'Costing inputs'!$C$340</f>
        <v>Distribution equipment - ongoing costs (n/a)</v>
      </c>
      <c r="D645" s="22" t="str">
        <f>'Costing inputs'!$U$340</f>
        <v>Central level</v>
      </c>
      <c r="E645" s="22" t="str">
        <f>'Regional splits'!$E$14</f>
        <v>Eastern</v>
      </c>
      <c r="F645">
        <v>0</v>
      </c>
      <c r="G645">
        <v>0</v>
      </c>
      <c r="H645">
        <v>0</v>
      </c>
      <c r="I645">
        <v>0</v>
      </c>
      <c r="J645">
        <v>0</v>
      </c>
      <c r="K645">
        <v>0</v>
      </c>
      <c r="L645">
        <v>0</v>
      </c>
      <c r="M645">
        <v>0</v>
      </c>
      <c r="N645">
        <v>0</v>
      </c>
      <c r="O645">
        <v>0</v>
      </c>
      <c r="P645" s="5">
        <f t="shared" si="112"/>
        <v>0</v>
      </c>
      <c r="Q645">
        <f t="shared" si="113"/>
        <v>0</v>
      </c>
      <c r="R645">
        <f t="shared" si="114"/>
        <v>0</v>
      </c>
      <c r="S645">
        <f t="shared" si="115"/>
        <v>0</v>
      </c>
      <c r="T645">
        <f t="shared" si="116"/>
        <v>0</v>
      </c>
      <c r="U645">
        <f t="shared" si="117"/>
        <v>0</v>
      </c>
      <c r="V645">
        <f t="shared" si="118"/>
        <v>0</v>
      </c>
      <c r="W645">
        <f t="shared" si="119"/>
        <v>0</v>
      </c>
      <c r="X645">
        <f t="shared" si="120"/>
        <v>0</v>
      </c>
      <c r="Y645">
        <f t="shared" si="121"/>
        <v>0</v>
      </c>
      <c r="Z645">
        <f t="shared" si="122"/>
        <v>0</v>
      </c>
      <c r="AA645" t="str">
        <f>INDEX('Priority activities'!$D$5:$D$86,MATCH('Database for analysis'!C645,'Priority activities'!$C$5:$C$86,0))</f>
        <v>n/a</v>
      </c>
    </row>
    <row r="646" spans="2:27" ht="16.5" thickTop="1" thickBot="1" x14ac:dyDescent="0.3">
      <c r="B646" t="s">
        <v>262</v>
      </c>
      <c r="C646" s="22" t="str">
        <f>'Costing inputs'!$C$340</f>
        <v>Distribution equipment - ongoing costs (n/a)</v>
      </c>
      <c r="D646" s="22" t="str">
        <f>'Costing inputs'!$U$340</f>
        <v>Central level</v>
      </c>
      <c r="E646" s="22" t="str">
        <f>'Regional splits'!$F$14</f>
        <v>Luapula</v>
      </c>
      <c r="F646">
        <v>0</v>
      </c>
      <c r="G646">
        <v>0</v>
      </c>
      <c r="H646">
        <v>0</v>
      </c>
      <c r="I646">
        <v>0</v>
      </c>
      <c r="J646">
        <v>0</v>
      </c>
      <c r="K646">
        <v>0</v>
      </c>
      <c r="L646">
        <v>0</v>
      </c>
      <c r="M646">
        <v>0</v>
      </c>
      <c r="N646">
        <v>0</v>
      </c>
      <c r="O646">
        <v>0</v>
      </c>
      <c r="P646" s="5">
        <f t="shared" si="112"/>
        <v>0</v>
      </c>
      <c r="Q646">
        <f t="shared" si="113"/>
        <v>0</v>
      </c>
      <c r="R646">
        <f t="shared" si="114"/>
        <v>0</v>
      </c>
      <c r="S646">
        <f t="shared" si="115"/>
        <v>0</v>
      </c>
      <c r="T646">
        <f t="shared" si="116"/>
        <v>0</v>
      </c>
      <c r="U646">
        <f t="shared" si="117"/>
        <v>0</v>
      </c>
      <c r="V646">
        <f t="shared" si="118"/>
        <v>0</v>
      </c>
      <c r="W646">
        <f t="shared" si="119"/>
        <v>0</v>
      </c>
      <c r="X646">
        <f t="shared" si="120"/>
        <v>0</v>
      </c>
      <c r="Y646">
        <f t="shared" si="121"/>
        <v>0</v>
      </c>
      <c r="Z646">
        <f t="shared" si="122"/>
        <v>0</v>
      </c>
      <c r="AA646" t="str">
        <f>INDEX('Priority activities'!$D$5:$D$86,MATCH('Database for analysis'!C646,'Priority activities'!$C$5:$C$86,0))</f>
        <v>n/a</v>
      </c>
    </row>
    <row r="647" spans="2:27" ht="16.5" thickTop="1" thickBot="1" x14ac:dyDescent="0.3">
      <c r="B647" t="s">
        <v>262</v>
      </c>
      <c r="C647" s="22" t="str">
        <f>'Costing inputs'!$C$340</f>
        <v>Distribution equipment - ongoing costs (n/a)</v>
      </c>
      <c r="D647" s="22" t="str">
        <f>'Costing inputs'!$U$340</f>
        <v>Central level</v>
      </c>
      <c r="E647" s="22" t="str">
        <f>'Regional splits'!$G$14</f>
        <v>Lusaka</v>
      </c>
      <c r="F647">
        <v>0</v>
      </c>
      <c r="G647">
        <v>0</v>
      </c>
      <c r="H647">
        <v>0</v>
      </c>
      <c r="I647">
        <v>0</v>
      </c>
      <c r="J647">
        <v>0</v>
      </c>
      <c r="K647">
        <v>0</v>
      </c>
      <c r="L647">
        <v>0</v>
      </c>
      <c r="M647">
        <v>0</v>
      </c>
      <c r="N647">
        <v>0</v>
      </c>
      <c r="O647">
        <v>0</v>
      </c>
      <c r="P647" s="5">
        <f t="shared" si="112"/>
        <v>0</v>
      </c>
      <c r="Q647">
        <f t="shared" si="113"/>
        <v>0</v>
      </c>
      <c r="R647">
        <f t="shared" si="114"/>
        <v>0</v>
      </c>
      <c r="S647">
        <f t="shared" si="115"/>
        <v>0</v>
      </c>
      <c r="T647">
        <f t="shared" si="116"/>
        <v>0</v>
      </c>
      <c r="U647">
        <f t="shared" si="117"/>
        <v>0</v>
      </c>
      <c r="V647">
        <f t="shared" si="118"/>
        <v>0</v>
      </c>
      <c r="W647">
        <f t="shared" si="119"/>
        <v>0</v>
      </c>
      <c r="X647">
        <f t="shared" si="120"/>
        <v>0</v>
      </c>
      <c r="Y647">
        <f t="shared" si="121"/>
        <v>0</v>
      </c>
      <c r="Z647">
        <f t="shared" si="122"/>
        <v>0</v>
      </c>
      <c r="AA647" t="str">
        <f>INDEX('Priority activities'!$D$5:$D$86,MATCH('Database for analysis'!C647,'Priority activities'!$C$5:$C$86,0))</f>
        <v>n/a</v>
      </c>
    </row>
    <row r="648" spans="2:27" ht="16.5" thickTop="1" thickBot="1" x14ac:dyDescent="0.3">
      <c r="B648" t="s">
        <v>262</v>
      </c>
      <c r="C648" s="22" t="str">
        <f>'Costing inputs'!$C$340</f>
        <v>Distribution equipment - ongoing costs (n/a)</v>
      </c>
      <c r="D648" s="22" t="str">
        <f>'Costing inputs'!$U$340</f>
        <v>Central level</v>
      </c>
      <c r="E648" s="22" t="str">
        <f>'Regional splits'!$H$14</f>
        <v>Muchinga</v>
      </c>
      <c r="F648">
        <v>0</v>
      </c>
      <c r="G648">
        <v>0</v>
      </c>
      <c r="H648">
        <v>0</v>
      </c>
      <c r="I648">
        <v>0</v>
      </c>
      <c r="J648">
        <v>0</v>
      </c>
      <c r="K648">
        <v>0</v>
      </c>
      <c r="L648">
        <v>0</v>
      </c>
      <c r="M648">
        <v>0</v>
      </c>
      <c r="N648">
        <v>0</v>
      </c>
      <c r="O648">
        <v>0</v>
      </c>
      <c r="P648" s="5">
        <f t="shared" si="112"/>
        <v>0</v>
      </c>
      <c r="Q648">
        <f t="shared" si="113"/>
        <v>0</v>
      </c>
      <c r="R648">
        <f t="shared" si="114"/>
        <v>0</v>
      </c>
      <c r="S648">
        <f t="shared" si="115"/>
        <v>0</v>
      </c>
      <c r="T648">
        <f t="shared" si="116"/>
        <v>0</v>
      </c>
      <c r="U648">
        <f t="shared" si="117"/>
        <v>0</v>
      </c>
      <c r="V648">
        <f t="shared" si="118"/>
        <v>0</v>
      </c>
      <c r="W648">
        <f t="shared" si="119"/>
        <v>0</v>
      </c>
      <c r="X648">
        <f t="shared" si="120"/>
        <v>0</v>
      </c>
      <c r="Y648">
        <f t="shared" si="121"/>
        <v>0</v>
      </c>
      <c r="Z648">
        <f t="shared" si="122"/>
        <v>0</v>
      </c>
      <c r="AA648" t="str">
        <f>INDEX('Priority activities'!$D$5:$D$86,MATCH('Database for analysis'!C648,'Priority activities'!$C$5:$C$86,0))</f>
        <v>n/a</v>
      </c>
    </row>
    <row r="649" spans="2:27" ht="16.5" thickTop="1" thickBot="1" x14ac:dyDescent="0.3">
      <c r="B649" t="s">
        <v>262</v>
      </c>
      <c r="C649" s="22" t="str">
        <f>'Costing inputs'!$C$340</f>
        <v>Distribution equipment - ongoing costs (n/a)</v>
      </c>
      <c r="D649" s="22" t="str">
        <f>'Costing inputs'!$U$340</f>
        <v>Central level</v>
      </c>
      <c r="E649" s="22" t="str">
        <f>'Regional splits'!$I$14</f>
        <v>Northern</v>
      </c>
      <c r="F649">
        <v>0</v>
      </c>
      <c r="G649">
        <v>0</v>
      </c>
      <c r="H649">
        <v>0</v>
      </c>
      <c r="I649">
        <v>0</v>
      </c>
      <c r="J649">
        <v>0</v>
      </c>
      <c r="K649">
        <v>0</v>
      </c>
      <c r="L649">
        <v>0</v>
      </c>
      <c r="M649">
        <v>0</v>
      </c>
      <c r="N649">
        <v>0</v>
      </c>
      <c r="O649">
        <v>0</v>
      </c>
      <c r="P649" s="5">
        <f t="shared" si="112"/>
        <v>0</v>
      </c>
      <c r="Q649">
        <f t="shared" si="113"/>
        <v>0</v>
      </c>
      <c r="R649">
        <f t="shared" si="114"/>
        <v>0</v>
      </c>
      <c r="S649">
        <f t="shared" si="115"/>
        <v>0</v>
      </c>
      <c r="T649">
        <f t="shared" si="116"/>
        <v>0</v>
      </c>
      <c r="U649">
        <f t="shared" si="117"/>
        <v>0</v>
      </c>
      <c r="V649">
        <f t="shared" si="118"/>
        <v>0</v>
      </c>
      <c r="W649">
        <f t="shared" si="119"/>
        <v>0</v>
      </c>
      <c r="X649">
        <f t="shared" si="120"/>
        <v>0</v>
      </c>
      <c r="Y649">
        <f t="shared" si="121"/>
        <v>0</v>
      </c>
      <c r="Z649">
        <f t="shared" si="122"/>
        <v>0</v>
      </c>
      <c r="AA649" t="str">
        <f>INDEX('Priority activities'!$D$5:$D$86,MATCH('Database for analysis'!C649,'Priority activities'!$C$5:$C$86,0))</f>
        <v>n/a</v>
      </c>
    </row>
    <row r="650" spans="2:27" ht="16.5" thickTop="1" thickBot="1" x14ac:dyDescent="0.3">
      <c r="B650" t="s">
        <v>262</v>
      </c>
      <c r="C650" s="22" t="str">
        <f>'Costing inputs'!$C$340</f>
        <v>Distribution equipment - ongoing costs (n/a)</v>
      </c>
      <c r="D650" s="22" t="str">
        <f>'Costing inputs'!$U$340</f>
        <v>Central level</v>
      </c>
      <c r="E650" s="22" t="str">
        <f>'Regional splits'!$J$14</f>
        <v>North Western</v>
      </c>
      <c r="F650">
        <v>0</v>
      </c>
      <c r="G650">
        <v>0</v>
      </c>
      <c r="H650">
        <v>0</v>
      </c>
      <c r="I650">
        <v>0</v>
      </c>
      <c r="J650">
        <v>0</v>
      </c>
      <c r="K650">
        <v>0</v>
      </c>
      <c r="L650">
        <v>0</v>
      </c>
      <c r="M650">
        <v>0</v>
      </c>
      <c r="N650">
        <v>0</v>
      </c>
      <c r="O650">
        <v>0</v>
      </c>
      <c r="P650" s="5">
        <f t="shared" si="112"/>
        <v>0</v>
      </c>
      <c r="Q650">
        <f t="shared" si="113"/>
        <v>0</v>
      </c>
      <c r="R650">
        <f t="shared" si="114"/>
        <v>0</v>
      </c>
      <c r="S650">
        <f t="shared" si="115"/>
        <v>0</v>
      </c>
      <c r="T650">
        <f t="shared" si="116"/>
        <v>0</v>
      </c>
      <c r="U650">
        <f t="shared" si="117"/>
        <v>0</v>
      </c>
      <c r="V650">
        <f t="shared" si="118"/>
        <v>0</v>
      </c>
      <c r="W650">
        <f t="shared" si="119"/>
        <v>0</v>
      </c>
      <c r="X650">
        <f t="shared" si="120"/>
        <v>0</v>
      </c>
      <c r="Y650">
        <f t="shared" si="121"/>
        <v>0</v>
      </c>
      <c r="Z650">
        <f t="shared" si="122"/>
        <v>0</v>
      </c>
      <c r="AA650" t="str">
        <f>INDEX('Priority activities'!$D$5:$D$86,MATCH('Database for analysis'!C650,'Priority activities'!$C$5:$C$86,0))</f>
        <v>n/a</v>
      </c>
    </row>
    <row r="651" spans="2:27" ht="16.5" thickTop="1" thickBot="1" x14ac:dyDescent="0.3">
      <c r="B651" t="s">
        <v>262</v>
      </c>
      <c r="C651" s="22" t="str">
        <f>'Costing inputs'!$C$340</f>
        <v>Distribution equipment - ongoing costs (n/a)</v>
      </c>
      <c r="D651" s="22" t="str">
        <f>'Costing inputs'!$U$340</f>
        <v>Central level</v>
      </c>
      <c r="E651" s="22" t="str">
        <f>'Regional splits'!$K$14</f>
        <v>Southern</v>
      </c>
      <c r="F651">
        <v>0</v>
      </c>
      <c r="G651">
        <v>0</v>
      </c>
      <c r="H651">
        <v>0</v>
      </c>
      <c r="I651">
        <v>0</v>
      </c>
      <c r="J651">
        <v>0</v>
      </c>
      <c r="K651">
        <v>0</v>
      </c>
      <c r="L651">
        <v>0</v>
      </c>
      <c r="M651">
        <v>0</v>
      </c>
      <c r="N651">
        <v>0</v>
      </c>
      <c r="O651">
        <v>0</v>
      </c>
      <c r="P651" s="5">
        <f t="shared" si="112"/>
        <v>0</v>
      </c>
      <c r="Q651">
        <f t="shared" si="113"/>
        <v>0</v>
      </c>
      <c r="R651">
        <f t="shared" si="114"/>
        <v>0</v>
      </c>
      <c r="S651">
        <f t="shared" si="115"/>
        <v>0</v>
      </c>
      <c r="T651">
        <f t="shared" si="116"/>
        <v>0</v>
      </c>
      <c r="U651">
        <f t="shared" si="117"/>
        <v>0</v>
      </c>
      <c r="V651">
        <f t="shared" si="118"/>
        <v>0</v>
      </c>
      <c r="W651">
        <f t="shared" si="119"/>
        <v>0</v>
      </c>
      <c r="X651">
        <f t="shared" si="120"/>
        <v>0</v>
      </c>
      <c r="Y651">
        <f t="shared" si="121"/>
        <v>0</v>
      </c>
      <c r="Z651">
        <f t="shared" si="122"/>
        <v>0</v>
      </c>
      <c r="AA651" t="str">
        <f>INDEX('Priority activities'!$D$5:$D$86,MATCH('Database for analysis'!C651,'Priority activities'!$C$5:$C$86,0))</f>
        <v>n/a</v>
      </c>
    </row>
    <row r="652" spans="2:27" ht="16.5" thickTop="1" thickBot="1" x14ac:dyDescent="0.3">
      <c r="B652" t="s">
        <v>262</v>
      </c>
      <c r="C652" s="22" t="str">
        <f>'Costing inputs'!$C$340</f>
        <v>Distribution equipment - ongoing costs (n/a)</v>
      </c>
      <c r="D652" s="22" t="str">
        <f>'Costing inputs'!$U$340</f>
        <v>Central level</v>
      </c>
      <c r="E652" s="22" t="str">
        <f>'Regional splits'!$L$14</f>
        <v>Western</v>
      </c>
      <c r="F652">
        <v>0</v>
      </c>
      <c r="G652">
        <v>0</v>
      </c>
      <c r="H652">
        <v>0</v>
      </c>
      <c r="I652">
        <v>0</v>
      </c>
      <c r="J652">
        <v>0</v>
      </c>
      <c r="K652">
        <v>0</v>
      </c>
      <c r="L652">
        <v>0</v>
      </c>
      <c r="M652">
        <v>0</v>
      </c>
      <c r="N652">
        <v>0</v>
      </c>
      <c r="O652">
        <v>0</v>
      </c>
      <c r="P652" s="5">
        <f t="shared" si="112"/>
        <v>0</v>
      </c>
      <c r="Q652">
        <f t="shared" si="113"/>
        <v>0</v>
      </c>
      <c r="R652">
        <f t="shared" si="114"/>
        <v>0</v>
      </c>
      <c r="S652">
        <f t="shared" si="115"/>
        <v>0</v>
      </c>
      <c r="T652">
        <f t="shared" si="116"/>
        <v>0</v>
      </c>
      <c r="U652">
        <f t="shared" si="117"/>
        <v>0</v>
      </c>
      <c r="V652">
        <f t="shared" si="118"/>
        <v>0</v>
      </c>
      <c r="W652">
        <f t="shared" si="119"/>
        <v>0</v>
      </c>
      <c r="X652">
        <f t="shared" si="120"/>
        <v>0</v>
      </c>
      <c r="Y652">
        <f t="shared" si="121"/>
        <v>0</v>
      </c>
      <c r="Z652">
        <f t="shared" si="122"/>
        <v>0</v>
      </c>
      <c r="AA652" t="str">
        <f>INDEX('Priority activities'!$D$5:$D$86,MATCH('Database for analysis'!C652,'Priority activities'!$C$5:$C$86,0))</f>
        <v>n/a</v>
      </c>
    </row>
    <row r="653" spans="2:27" ht="16.5" thickTop="1" thickBot="1" x14ac:dyDescent="0.3">
      <c r="B653" t="s">
        <v>262</v>
      </c>
      <c r="C653" s="22" t="str">
        <f>'Costing inputs'!$C$340</f>
        <v>Distribution equipment - ongoing costs (n/a)</v>
      </c>
      <c r="D653" s="22" t="str">
        <f>'Costing inputs'!$U$340</f>
        <v>Central level</v>
      </c>
      <c r="E653" s="22">
        <f>'Regional splits'!$M$14</f>
        <v>0</v>
      </c>
      <c r="F653">
        <v>0</v>
      </c>
      <c r="G653">
        <v>0</v>
      </c>
      <c r="H653">
        <v>0</v>
      </c>
      <c r="I653">
        <v>0</v>
      </c>
      <c r="J653">
        <v>0</v>
      </c>
      <c r="K653">
        <v>0</v>
      </c>
      <c r="L653">
        <v>0</v>
      </c>
      <c r="M653">
        <v>0</v>
      </c>
      <c r="N653">
        <v>0</v>
      </c>
      <c r="O653">
        <v>0</v>
      </c>
      <c r="P653" s="5">
        <f t="shared" si="112"/>
        <v>0</v>
      </c>
      <c r="Q653">
        <f t="shared" si="113"/>
        <v>0</v>
      </c>
      <c r="R653">
        <f t="shared" si="114"/>
        <v>0</v>
      </c>
      <c r="S653">
        <f t="shared" si="115"/>
        <v>0</v>
      </c>
      <c r="T653">
        <f t="shared" si="116"/>
        <v>0</v>
      </c>
      <c r="U653">
        <f t="shared" si="117"/>
        <v>0</v>
      </c>
      <c r="V653">
        <f t="shared" si="118"/>
        <v>0</v>
      </c>
      <c r="W653">
        <f t="shared" si="119"/>
        <v>0</v>
      </c>
      <c r="X653">
        <f t="shared" si="120"/>
        <v>0</v>
      </c>
      <c r="Y653">
        <f t="shared" si="121"/>
        <v>0</v>
      </c>
      <c r="Z653">
        <f t="shared" si="122"/>
        <v>0</v>
      </c>
      <c r="AA653" t="str">
        <f>INDEX('Priority activities'!$D$5:$D$86,MATCH('Database for analysis'!C653,'Priority activities'!$C$5:$C$86,0))</f>
        <v>n/a</v>
      </c>
    </row>
    <row r="654" spans="2:27" ht="16.5" thickTop="1" thickBot="1" x14ac:dyDescent="0.3">
      <c r="B654" t="s">
        <v>262</v>
      </c>
      <c r="C654" s="22" t="str">
        <f>'Costing inputs'!$C$340</f>
        <v>Distribution equipment - ongoing costs (n/a)</v>
      </c>
      <c r="D654" s="22" t="str">
        <f>'Costing inputs'!$U$340</f>
        <v>Central level</v>
      </c>
      <c r="E654" s="22">
        <f>'Regional splits'!$N$14</f>
        <v>0</v>
      </c>
      <c r="F654">
        <v>0</v>
      </c>
      <c r="G654">
        <v>0</v>
      </c>
      <c r="H654">
        <v>0</v>
      </c>
      <c r="I654">
        <v>0</v>
      </c>
      <c r="J654">
        <v>0</v>
      </c>
      <c r="K654">
        <v>0</v>
      </c>
      <c r="L654">
        <v>0</v>
      </c>
      <c r="M654">
        <v>0</v>
      </c>
      <c r="N654">
        <v>0</v>
      </c>
      <c r="O654">
        <v>0</v>
      </c>
      <c r="P654" s="5">
        <f t="shared" si="112"/>
        <v>0</v>
      </c>
      <c r="Q654">
        <f t="shared" si="113"/>
        <v>0</v>
      </c>
      <c r="R654">
        <f t="shared" si="114"/>
        <v>0</v>
      </c>
      <c r="S654">
        <f t="shared" si="115"/>
        <v>0</v>
      </c>
      <c r="T654">
        <f t="shared" si="116"/>
        <v>0</v>
      </c>
      <c r="U654">
        <f t="shared" si="117"/>
        <v>0</v>
      </c>
      <c r="V654">
        <f t="shared" si="118"/>
        <v>0</v>
      </c>
      <c r="W654">
        <f t="shared" si="119"/>
        <v>0</v>
      </c>
      <c r="X654">
        <f t="shared" si="120"/>
        <v>0</v>
      </c>
      <c r="Y654">
        <f t="shared" si="121"/>
        <v>0</v>
      </c>
      <c r="Z654">
        <f t="shared" si="122"/>
        <v>0</v>
      </c>
      <c r="AA654" t="str">
        <f>INDEX('Priority activities'!$D$5:$D$86,MATCH('Database for analysis'!C654,'Priority activities'!$C$5:$C$86,0))</f>
        <v>n/a</v>
      </c>
    </row>
    <row r="655" spans="2:27" ht="16.5" thickTop="1" thickBot="1" x14ac:dyDescent="0.3">
      <c r="B655" t="s">
        <v>262</v>
      </c>
      <c r="C655" s="22" t="str">
        <f>'Costing inputs'!$C$340</f>
        <v>Distribution equipment - ongoing costs (n/a)</v>
      </c>
      <c r="D655" s="22" t="str">
        <f>'Costing inputs'!$U$340</f>
        <v>Central level</v>
      </c>
      <c r="E655" s="22">
        <f>'Regional splits'!$O$14</f>
        <v>0</v>
      </c>
      <c r="F655">
        <v>0</v>
      </c>
      <c r="G655">
        <v>0</v>
      </c>
      <c r="H655">
        <v>0</v>
      </c>
      <c r="I655">
        <v>0</v>
      </c>
      <c r="J655">
        <v>0</v>
      </c>
      <c r="K655">
        <v>0</v>
      </c>
      <c r="L655">
        <v>0</v>
      </c>
      <c r="M655">
        <v>0</v>
      </c>
      <c r="N655">
        <v>0</v>
      </c>
      <c r="O655">
        <v>0</v>
      </c>
      <c r="P655" s="5">
        <f t="shared" si="112"/>
        <v>0</v>
      </c>
      <c r="Q655">
        <f t="shared" si="113"/>
        <v>0</v>
      </c>
      <c r="R655">
        <f t="shared" si="114"/>
        <v>0</v>
      </c>
      <c r="S655">
        <f t="shared" si="115"/>
        <v>0</v>
      </c>
      <c r="T655">
        <f t="shared" si="116"/>
        <v>0</v>
      </c>
      <c r="U655">
        <f t="shared" si="117"/>
        <v>0</v>
      </c>
      <c r="V655">
        <f t="shared" si="118"/>
        <v>0</v>
      </c>
      <c r="W655">
        <f t="shared" si="119"/>
        <v>0</v>
      </c>
      <c r="X655">
        <f t="shared" si="120"/>
        <v>0</v>
      </c>
      <c r="Y655">
        <f t="shared" si="121"/>
        <v>0</v>
      </c>
      <c r="Z655">
        <f t="shared" si="122"/>
        <v>0</v>
      </c>
      <c r="AA655" t="str">
        <f>INDEX('Priority activities'!$D$5:$D$86,MATCH('Database for analysis'!C655,'Priority activities'!$C$5:$C$86,0))</f>
        <v>n/a</v>
      </c>
    </row>
    <row r="656" spans="2:27" ht="16.5" thickTop="1" thickBot="1" x14ac:dyDescent="0.3">
      <c r="B656" t="s">
        <v>262</v>
      </c>
      <c r="C656" s="22" t="str">
        <f>'Costing inputs'!$C$340</f>
        <v>Distribution equipment - ongoing costs (n/a)</v>
      </c>
      <c r="D656" s="22" t="str">
        <f>'Costing inputs'!$U$340</f>
        <v>Central level</v>
      </c>
      <c r="E656" s="22">
        <f>'Regional splits'!$P$14</f>
        <v>0</v>
      </c>
      <c r="F656">
        <v>0</v>
      </c>
      <c r="G656">
        <v>0</v>
      </c>
      <c r="H656">
        <v>0</v>
      </c>
      <c r="I656">
        <v>0</v>
      </c>
      <c r="J656">
        <v>0</v>
      </c>
      <c r="K656">
        <v>0</v>
      </c>
      <c r="L656">
        <v>0</v>
      </c>
      <c r="M656">
        <v>0</v>
      </c>
      <c r="N656">
        <v>0</v>
      </c>
      <c r="O656">
        <v>0</v>
      </c>
      <c r="P656" s="5">
        <f t="shared" si="112"/>
        <v>0</v>
      </c>
      <c r="Q656">
        <f t="shared" si="113"/>
        <v>0</v>
      </c>
      <c r="R656">
        <f t="shared" si="114"/>
        <v>0</v>
      </c>
      <c r="S656">
        <f t="shared" si="115"/>
        <v>0</v>
      </c>
      <c r="T656">
        <f t="shared" si="116"/>
        <v>0</v>
      </c>
      <c r="U656">
        <f t="shared" si="117"/>
        <v>0</v>
      </c>
      <c r="V656">
        <f t="shared" si="118"/>
        <v>0</v>
      </c>
      <c r="W656">
        <f t="shared" si="119"/>
        <v>0</v>
      </c>
      <c r="X656">
        <f t="shared" si="120"/>
        <v>0</v>
      </c>
      <c r="Y656">
        <f t="shared" si="121"/>
        <v>0</v>
      </c>
      <c r="Z656">
        <f t="shared" si="122"/>
        <v>0</v>
      </c>
      <c r="AA656" t="str">
        <f>INDEX('Priority activities'!$D$5:$D$86,MATCH('Database for analysis'!C656,'Priority activities'!$C$5:$C$86,0))</f>
        <v>n/a</v>
      </c>
    </row>
    <row r="657" spans="2:27" ht="16.5" thickTop="1" thickBot="1" x14ac:dyDescent="0.3">
      <c r="B657" t="s">
        <v>262</v>
      </c>
      <c r="C657" s="22" t="str">
        <f>'Costing inputs'!$C$340</f>
        <v>Distribution equipment - ongoing costs (n/a)</v>
      </c>
      <c r="D657" s="22" t="str">
        <f>'Costing inputs'!$U$340</f>
        <v>Central level</v>
      </c>
      <c r="E657" s="22">
        <f>'Regional splits'!$Q$14</f>
        <v>0</v>
      </c>
      <c r="F657">
        <v>0</v>
      </c>
      <c r="G657">
        <v>0</v>
      </c>
      <c r="H657">
        <v>0</v>
      </c>
      <c r="I657">
        <v>0</v>
      </c>
      <c r="J657">
        <v>0</v>
      </c>
      <c r="K657">
        <v>0</v>
      </c>
      <c r="L657">
        <v>0</v>
      </c>
      <c r="M657">
        <v>0</v>
      </c>
      <c r="N657">
        <v>0</v>
      </c>
      <c r="O657">
        <v>0</v>
      </c>
      <c r="P657" s="5">
        <f t="shared" si="112"/>
        <v>0</v>
      </c>
      <c r="Q657">
        <f t="shared" si="113"/>
        <v>0</v>
      </c>
      <c r="R657">
        <f t="shared" si="114"/>
        <v>0</v>
      </c>
      <c r="S657">
        <f t="shared" si="115"/>
        <v>0</v>
      </c>
      <c r="T657">
        <f t="shared" si="116"/>
        <v>0</v>
      </c>
      <c r="U657">
        <f t="shared" si="117"/>
        <v>0</v>
      </c>
      <c r="V657">
        <f t="shared" si="118"/>
        <v>0</v>
      </c>
      <c r="W657">
        <f t="shared" si="119"/>
        <v>0</v>
      </c>
      <c r="X657">
        <f t="shared" si="120"/>
        <v>0</v>
      </c>
      <c r="Y657">
        <f t="shared" si="121"/>
        <v>0</v>
      </c>
      <c r="Z657">
        <f t="shared" si="122"/>
        <v>0</v>
      </c>
      <c r="AA657" t="str">
        <f>INDEX('Priority activities'!$D$5:$D$86,MATCH('Database for analysis'!C657,'Priority activities'!$C$5:$C$86,0))</f>
        <v>n/a</v>
      </c>
    </row>
    <row r="658" spans="2:27" ht="16.5" thickTop="1" thickBot="1" x14ac:dyDescent="0.3">
      <c r="B658" t="s">
        <v>262</v>
      </c>
      <c r="C658" s="22" t="str">
        <f>'Costing inputs'!$C$340</f>
        <v>Distribution equipment - ongoing costs (n/a)</v>
      </c>
      <c r="D658" s="22" t="str">
        <f>'Costing inputs'!$U$340</f>
        <v>Central level</v>
      </c>
      <c r="E658" s="22" t="str">
        <f>'Regional splits'!$R$14</f>
        <v>National-level</v>
      </c>
      <c r="F658">
        <v>0</v>
      </c>
      <c r="G658">
        <v>0</v>
      </c>
      <c r="H658">
        <v>0</v>
      </c>
      <c r="I658">
        <v>0</v>
      </c>
      <c r="J658">
        <v>0</v>
      </c>
      <c r="K658">
        <v>0</v>
      </c>
      <c r="L658">
        <v>0</v>
      </c>
      <c r="M658">
        <v>0</v>
      </c>
      <c r="N658">
        <v>0</v>
      </c>
      <c r="O658">
        <v>0</v>
      </c>
      <c r="P658" s="5">
        <f t="shared" si="112"/>
        <v>0</v>
      </c>
      <c r="Q658">
        <f t="shared" si="113"/>
        <v>0</v>
      </c>
      <c r="R658">
        <f t="shared" si="114"/>
        <v>0</v>
      </c>
      <c r="S658">
        <f t="shared" si="115"/>
        <v>0</v>
      </c>
      <c r="T658">
        <f t="shared" si="116"/>
        <v>0</v>
      </c>
      <c r="U658">
        <f t="shared" si="117"/>
        <v>0</v>
      </c>
      <c r="V658">
        <f t="shared" si="118"/>
        <v>0</v>
      </c>
      <c r="W658">
        <f t="shared" si="119"/>
        <v>0</v>
      </c>
      <c r="X658">
        <f t="shared" si="120"/>
        <v>0</v>
      </c>
      <c r="Y658">
        <f t="shared" si="121"/>
        <v>0</v>
      </c>
      <c r="Z658">
        <f t="shared" si="122"/>
        <v>0</v>
      </c>
      <c r="AA658" t="str">
        <f>INDEX('Priority activities'!$D$5:$D$86,MATCH('Database for analysis'!C658,'Priority activities'!$C$5:$C$86,0))</f>
        <v>n/a</v>
      </c>
    </row>
    <row r="659" spans="2:27" ht="16.5" thickTop="1" thickBot="1" x14ac:dyDescent="0.3">
      <c r="B659" t="s">
        <v>262</v>
      </c>
      <c r="C659" s="22" t="str">
        <f>'Costing inputs'!$C$344</f>
        <v>Storage facilities (n/a)</v>
      </c>
      <c r="D659" s="22" t="str">
        <f>'Costing inputs'!$U$344</f>
        <v>Central level</v>
      </c>
      <c r="E659" s="22" t="str">
        <f>'Regional splits'!$C$14</f>
        <v>Central</v>
      </c>
      <c r="F659">
        <f t="array" ref="F659:O674">'Costing inputs'!S344*'Costing inputs'!AP344:AY344*TRANSPOSE('Costing inputs'!W344:AL344)</f>
        <v>0</v>
      </c>
      <c r="G659">
        <v>0</v>
      </c>
      <c r="H659">
        <v>0</v>
      </c>
      <c r="I659">
        <v>0</v>
      </c>
      <c r="J659">
        <v>0</v>
      </c>
      <c r="K659">
        <v>0</v>
      </c>
      <c r="L659">
        <v>0</v>
      </c>
      <c r="M659">
        <v>0</v>
      </c>
      <c r="N659">
        <v>0</v>
      </c>
      <c r="O659">
        <v>0</v>
      </c>
      <c r="P659" s="5">
        <f t="shared" si="112"/>
        <v>0</v>
      </c>
      <c r="Q659">
        <f t="shared" si="113"/>
        <v>0</v>
      </c>
      <c r="R659">
        <f t="shared" si="114"/>
        <v>0</v>
      </c>
      <c r="S659">
        <f t="shared" si="115"/>
        <v>0</v>
      </c>
      <c r="T659">
        <f t="shared" si="116"/>
        <v>0</v>
      </c>
      <c r="U659">
        <f t="shared" si="117"/>
        <v>0</v>
      </c>
      <c r="V659">
        <f t="shared" si="118"/>
        <v>0</v>
      </c>
      <c r="W659">
        <f t="shared" si="119"/>
        <v>0</v>
      </c>
      <c r="X659">
        <f t="shared" si="120"/>
        <v>0</v>
      </c>
      <c r="Y659">
        <f t="shared" si="121"/>
        <v>0</v>
      </c>
      <c r="Z659">
        <f t="shared" si="122"/>
        <v>0</v>
      </c>
      <c r="AA659" t="str">
        <f>INDEX('Priority activities'!$D$5:$D$86,MATCH('Database for analysis'!C659,'Priority activities'!$C$5:$C$86,0))</f>
        <v>n/a</v>
      </c>
    </row>
    <row r="660" spans="2:27" ht="16.5" thickTop="1" thickBot="1" x14ac:dyDescent="0.3">
      <c r="B660" t="s">
        <v>262</v>
      </c>
      <c r="C660" s="22" t="str">
        <f>'Costing inputs'!$C$344</f>
        <v>Storage facilities (n/a)</v>
      </c>
      <c r="D660" s="22" t="str">
        <f>'Costing inputs'!$U$344</f>
        <v>Central level</v>
      </c>
      <c r="E660" s="22" t="str">
        <f>'Regional splits'!$D$14</f>
        <v>Copperbelt</v>
      </c>
      <c r="F660">
        <v>0</v>
      </c>
      <c r="G660">
        <v>0</v>
      </c>
      <c r="H660">
        <v>0</v>
      </c>
      <c r="I660">
        <v>0</v>
      </c>
      <c r="J660">
        <v>0</v>
      </c>
      <c r="K660">
        <v>0</v>
      </c>
      <c r="L660">
        <v>0</v>
      </c>
      <c r="M660">
        <v>0</v>
      </c>
      <c r="N660">
        <v>0</v>
      </c>
      <c r="O660">
        <v>0</v>
      </c>
      <c r="P660" s="5">
        <f t="shared" si="112"/>
        <v>0</v>
      </c>
      <c r="Q660">
        <f t="shared" si="113"/>
        <v>0</v>
      </c>
      <c r="R660">
        <f t="shared" si="114"/>
        <v>0</v>
      </c>
      <c r="S660">
        <f t="shared" si="115"/>
        <v>0</v>
      </c>
      <c r="T660">
        <f t="shared" si="116"/>
        <v>0</v>
      </c>
      <c r="U660">
        <f t="shared" si="117"/>
        <v>0</v>
      </c>
      <c r="V660">
        <f t="shared" si="118"/>
        <v>0</v>
      </c>
      <c r="W660">
        <f t="shared" si="119"/>
        <v>0</v>
      </c>
      <c r="X660">
        <f t="shared" si="120"/>
        <v>0</v>
      </c>
      <c r="Y660">
        <f t="shared" si="121"/>
        <v>0</v>
      </c>
      <c r="Z660">
        <f t="shared" si="122"/>
        <v>0</v>
      </c>
      <c r="AA660" t="str">
        <f>INDEX('Priority activities'!$D$5:$D$86,MATCH('Database for analysis'!C660,'Priority activities'!$C$5:$C$86,0))</f>
        <v>n/a</v>
      </c>
    </row>
    <row r="661" spans="2:27" ht="16.5" thickTop="1" thickBot="1" x14ac:dyDescent="0.3">
      <c r="B661" t="s">
        <v>262</v>
      </c>
      <c r="C661" s="22" t="str">
        <f>'Costing inputs'!$C$344</f>
        <v>Storage facilities (n/a)</v>
      </c>
      <c r="D661" s="22" t="str">
        <f>'Costing inputs'!$U$344</f>
        <v>Central level</v>
      </c>
      <c r="E661" s="22" t="str">
        <f>'Regional splits'!$E$14</f>
        <v>Eastern</v>
      </c>
      <c r="F661">
        <v>0</v>
      </c>
      <c r="G661">
        <v>0</v>
      </c>
      <c r="H661">
        <v>0</v>
      </c>
      <c r="I661">
        <v>0</v>
      </c>
      <c r="J661">
        <v>0</v>
      </c>
      <c r="K661">
        <v>0</v>
      </c>
      <c r="L661">
        <v>0</v>
      </c>
      <c r="M661">
        <v>0</v>
      </c>
      <c r="N661">
        <v>0</v>
      </c>
      <c r="O661">
        <v>0</v>
      </c>
      <c r="P661" s="5">
        <f t="shared" si="112"/>
        <v>0</v>
      </c>
      <c r="Q661">
        <f t="shared" si="113"/>
        <v>0</v>
      </c>
      <c r="R661">
        <f t="shared" si="114"/>
        <v>0</v>
      </c>
      <c r="S661">
        <f t="shared" si="115"/>
        <v>0</v>
      </c>
      <c r="T661">
        <f t="shared" si="116"/>
        <v>0</v>
      </c>
      <c r="U661">
        <f t="shared" si="117"/>
        <v>0</v>
      </c>
      <c r="V661">
        <f t="shared" si="118"/>
        <v>0</v>
      </c>
      <c r="W661">
        <f t="shared" si="119"/>
        <v>0</v>
      </c>
      <c r="X661">
        <f t="shared" si="120"/>
        <v>0</v>
      </c>
      <c r="Y661">
        <f t="shared" si="121"/>
        <v>0</v>
      </c>
      <c r="Z661">
        <f t="shared" si="122"/>
        <v>0</v>
      </c>
      <c r="AA661" t="str">
        <f>INDEX('Priority activities'!$D$5:$D$86,MATCH('Database for analysis'!C661,'Priority activities'!$C$5:$C$86,0))</f>
        <v>n/a</v>
      </c>
    </row>
    <row r="662" spans="2:27" ht="16.5" thickTop="1" thickBot="1" x14ac:dyDescent="0.3">
      <c r="B662" t="s">
        <v>262</v>
      </c>
      <c r="C662" s="22" t="str">
        <f>'Costing inputs'!$C$344</f>
        <v>Storage facilities (n/a)</v>
      </c>
      <c r="D662" s="22" t="str">
        <f>'Costing inputs'!$U$344</f>
        <v>Central level</v>
      </c>
      <c r="E662" s="22" t="str">
        <f>'Regional splits'!$F$14</f>
        <v>Luapula</v>
      </c>
      <c r="F662">
        <v>0</v>
      </c>
      <c r="G662">
        <v>0</v>
      </c>
      <c r="H662">
        <v>0</v>
      </c>
      <c r="I662">
        <v>0</v>
      </c>
      <c r="J662">
        <v>0</v>
      </c>
      <c r="K662">
        <v>0</v>
      </c>
      <c r="L662">
        <v>0</v>
      </c>
      <c r="M662">
        <v>0</v>
      </c>
      <c r="N662">
        <v>0</v>
      </c>
      <c r="O662">
        <v>0</v>
      </c>
      <c r="P662" s="5">
        <f t="shared" si="112"/>
        <v>0</v>
      </c>
      <c r="Q662">
        <f t="shared" si="113"/>
        <v>0</v>
      </c>
      <c r="R662">
        <f t="shared" si="114"/>
        <v>0</v>
      </c>
      <c r="S662">
        <f t="shared" si="115"/>
        <v>0</v>
      </c>
      <c r="T662">
        <f t="shared" si="116"/>
        <v>0</v>
      </c>
      <c r="U662">
        <f t="shared" si="117"/>
        <v>0</v>
      </c>
      <c r="V662">
        <f t="shared" si="118"/>
        <v>0</v>
      </c>
      <c r="W662">
        <f t="shared" si="119"/>
        <v>0</v>
      </c>
      <c r="X662">
        <f t="shared" si="120"/>
        <v>0</v>
      </c>
      <c r="Y662">
        <f t="shared" si="121"/>
        <v>0</v>
      </c>
      <c r="Z662">
        <f t="shared" si="122"/>
        <v>0</v>
      </c>
      <c r="AA662" t="str">
        <f>INDEX('Priority activities'!$D$5:$D$86,MATCH('Database for analysis'!C662,'Priority activities'!$C$5:$C$86,0))</f>
        <v>n/a</v>
      </c>
    </row>
    <row r="663" spans="2:27" ht="16.5" thickTop="1" thickBot="1" x14ac:dyDescent="0.3">
      <c r="B663" t="s">
        <v>262</v>
      </c>
      <c r="C663" s="22" t="str">
        <f>'Costing inputs'!$C$344</f>
        <v>Storage facilities (n/a)</v>
      </c>
      <c r="D663" s="22" t="str">
        <f>'Costing inputs'!$U$344</f>
        <v>Central level</v>
      </c>
      <c r="E663" s="22" t="str">
        <f>'Regional splits'!$G$14</f>
        <v>Lusaka</v>
      </c>
      <c r="F663">
        <v>0</v>
      </c>
      <c r="G663">
        <v>0</v>
      </c>
      <c r="H663">
        <v>0</v>
      </c>
      <c r="I663">
        <v>0</v>
      </c>
      <c r="J663">
        <v>0</v>
      </c>
      <c r="K663">
        <v>0</v>
      </c>
      <c r="L663">
        <v>0</v>
      </c>
      <c r="M663">
        <v>0</v>
      </c>
      <c r="N663">
        <v>0</v>
      </c>
      <c r="O663">
        <v>0</v>
      </c>
      <c r="P663" s="5">
        <f t="shared" si="112"/>
        <v>0</v>
      </c>
      <c r="Q663">
        <f t="shared" si="113"/>
        <v>0</v>
      </c>
      <c r="R663">
        <f t="shared" si="114"/>
        <v>0</v>
      </c>
      <c r="S663">
        <f t="shared" si="115"/>
        <v>0</v>
      </c>
      <c r="T663">
        <f t="shared" si="116"/>
        <v>0</v>
      </c>
      <c r="U663">
        <f t="shared" si="117"/>
        <v>0</v>
      </c>
      <c r="V663">
        <f t="shared" si="118"/>
        <v>0</v>
      </c>
      <c r="W663">
        <f t="shared" si="119"/>
        <v>0</v>
      </c>
      <c r="X663">
        <f t="shared" si="120"/>
        <v>0</v>
      </c>
      <c r="Y663">
        <f t="shared" si="121"/>
        <v>0</v>
      </c>
      <c r="Z663">
        <f t="shared" si="122"/>
        <v>0</v>
      </c>
      <c r="AA663" t="str">
        <f>INDEX('Priority activities'!$D$5:$D$86,MATCH('Database for analysis'!C663,'Priority activities'!$C$5:$C$86,0))</f>
        <v>n/a</v>
      </c>
    </row>
    <row r="664" spans="2:27" ht="16.5" thickTop="1" thickBot="1" x14ac:dyDescent="0.3">
      <c r="B664" t="s">
        <v>262</v>
      </c>
      <c r="C664" s="22" t="str">
        <f>'Costing inputs'!$C$344</f>
        <v>Storage facilities (n/a)</v>
      </c>
      <c r="D664" s="22" t="str">
        <f>'Costing inputs'!$U$344</f>
        <v>Central level</v>
      </c>
      <c r="E664" s="22" t="str">
        <f>'Regional splits'!$H$14</f>
        <v>Muchinga</v>
      </c>
      <c r="F664">
        <v>0</v>
      </c>
      <c r="G664">
        <v>0</v>
      </c>
      <c r="H664">
        <v>0</v>
      </c>
      <c r="I664">
        <v>0</v>
      </c>
      <c r="J664">
        <v>0</v>
      </c>
      <c r="K664">
        <v>0</v>
      </c>
      <c r="L664">
        <v>0</v>
      </c>
      <c r="M664">
        <v>0</v>
      </c>
      <c r="N664">
        <v>0</v>
      </c>
      <c r="O664">
        <v>0</v>
      </c>
      <c r="P664" s="5">
        <f t="shared" si="112"/>
        <v>0</v>
      </c>
      <c r="Q664">
        <f t="shared" si="113"/>
        <v>0</v>
      </c>
      <c r="R664">
        <f t="shared" si="114"/>
        <v>0</v>
      </c>
      <c r="S664">
        <f t="shared" si="115"/>
        <v>0</v>
      </c>
      <c r="T664">
        <f t="shared" si="116"/>
        <v>0</v>
      </c>
      <c r="U664">
        <f t="shared" si="117"/>
        <v>0</v>
      </c>
      <c r="V664">
        <f t="shared" si="118"/>
        <v>0</v>
      </c>
      <c r="W664">
        <f t="shared" si="119"/>
        <v>0</v>
      </c>
      <c r="X664">
        <f t="shared" si="120"/>
        <v>0</v>
      </c>
      <c r="Y664">
        <f t="shared" si="121"/>
        <v>0</v>
      </c>
      <c r="Z664">
        <f t="shared" si="122"/>
        <v>0</v>
      </c>
      <c r="AA664" t="str">
        <f>INDEX('Priority activities'!$D$5:$D$86,MATCH('Database for analysis'!C664,'Priority activities'!$C$5:$C$86,0))</f>
        <v>n/a</v>
      </c>
    </row>
    <row r="665" spans="2:27" ht="16.5" thickTop="1" thickBot="1" x14ac:dyDescent="0.3">
      <c r="B665" t="s">
        <v>262</v>
      </c>
      <c r="C665" s="22" t="str">
        <f>'Costing inputs'!$C$344</f>
        <v>Storage facilities (n/a)</v>
      </c>
      <c r="D665" s="22" t="str">
        <f>'Costing inputs'!$U$344</f>
        <v>Central level</v>
      </c>
      <c r="E665" s="22" t="str">
        <f>'Regional splits'!$I$14</f>
        <v>Northern</v>
      </c>
      <c r="F665">
        <v>0</v>
      </c>
      <c r="G665">
        <v>0</v>
      </c>
      <c r="H665">
        <v>0</v>
      </c>
      <c r="I665">
        <v>0</v>
      </c>
      <c r="J665">
        <v>0</v>
      </c>
      <c r="K665">
        <v>0</v>
      </c>
      <c r="L665">
        <v>0</v>
      </c>
      <c r="M665">
        <v>0</v>
      </c>
      <c r="N665">
        <v>0</v>
      </c>
      <c r="O665">
        <v>0</v>
      </c>
      <c r="P665" s="5">
        <f t="shared" si="112"/>
        <v>0</v>
      </c>
      <c r="Q665">
        <f t="shared" si="113"/>
        <v>0</v>
      </c>
      <c r="R665">
        <f t="shared" si="114"/>
        <v>0</v>
      </c>
      <c r="S665">
        <f t="shared" si="115"/>
        <v>0</v>
      </c>
      <c r="T665">
        <f t="shared" si="116"/>
        <v>0</v>
      </c>
      <c r="U665">
        <f t="shared" si="117"/>
        <v>0</v>
      </c>
      <c r="V665">
        <f t="shared" si="118"/>
        <v>0</v>
      </c>
      <c r="W665">
        <f t="shared" si="119"/>
        <v>0</v>
      </c>
      <c r="X665">
        <f t="shared" si="120"/>
        <v>0</v>
      </c>
      <c r="Y665">
        <f t="shared" si="121"/>
        <v>0</v>
      </c>
      <c r="Z665">
        <f t="shared" si="122"/>
        <v>0</v>
      </c>
      <c r="AA665" t="str">
        <f>INDEX('Priority activities'!$D$5:$D$86,MATCH('Database for analysis'!C665,'Priority activities'!$C$5:$C$86,0))</f>
        <v>n/a</v>
      </c>
    </row>
    <row r="666" spans="2:27" ht="16.5" thickTop="1" thickBot="1" x14ac:dyDescent="0.3">
      <c r="B666" t="s">
        <v>262</v>
      </c>
      <c r="C666" s="22" t="str">
        <f>'Costing inputs'!$C$344</f>
        <v>Storage facilities (n/a)</v>
      </c>
      <c r="D666" s="22" t="str">
        <f>'Costing inputs'!$U$344</f>
        <v>Central level</v>
      </c>
      <c r="E666" s="22" t="str">
        <f>'Regional splits'!$J$14</f>
        <v>North Western</v>
      </c>
      <c r="F666">
        <v>0</v>
      </c>
      <c r="G666">
        <v>0</v>
      </c>
      <c r="H666">
        <v>0</v>
      </c>
      <c r="I666">
        <v>0</v>
      </c>
      <c r="J666">
        <v>0</v>
      </c>
      <c r="K666">
        <v>0</v>
      </c>
      <c r="L666">
        <v>0</v>
      </c>
      <c r="M666">
        <v>0</v>
      </c>
      <c r="N666">
        <v>0</v>
      </c>
      <c r="O666">
        <v>0</v>
      </c>
      <c r="P666" s="5">
        <f t="shared" si="112"/>
        <v>0</v>
      </c>
      <c r="Q666">
        <f t="shared" si="113"/>
        <v>0</v>
      </c>
      <c r="R666">
        <f t="shared" si="114"/>
        <v>0</v>
      </c>
      <c r="S666">
        <f t="shared" si="115"/>
        <v>0</v>
      </c>
      <c r="T666">
        <f t="shared" si="116"/>
        <v>0</v>
      </c>
      <c r="U666">
        <f t="shared" si="117"/>
        <v>0</v>
      </c>
      <c r="V666">
        <f t="shared" si="118"/>
        <v>0</v>
      </c>
      <c r="W666">
        <f t="shared" si="119"/>
        <v>0</v>
      </c>
      <c r="X666">
        <f t="shared" si="120"/>
        <v>0</v>
      </c>
      <c r="Y666">
        <f t="shared" si="121"/>
        <v>0</v>
      </c>
      <c r="Z666">
        <f t="shared" si="122"/>
        <v>0</v>
      </c>
      <c r="AA666" t="str">
        <f>INDEX('Priority activities'!$D$5:$D$86,MATCH('Database for analysis'!C666,'Priority activities'!$C$5:$C$86,0))</f>
        <v>n/a</v>
      </c>
    </row>
    <row r="667" spans="2:27" ht="16.5" thickTop="1" thickBot="1" x14ac:dyDescent="0.3">
      <c r="B667" t="s">
        <v>262</v>
      </c>
      <c r="C667" s="22" t="str">
        <f>'Costing inputs'!$C$344</f>
        <v>Storage facilities (n/a)</v>
      </c>
      <c r="D667" s="22" t="str">
        <f>'Costing inputs'!$U$344</f>
        <v>Central level</v>
      </c>
      <c r="E667" s="22" t="str">
        <f>'Regional splits'!$K$14</f>
        <v>Southern</v>
      </c>
      <c r="F667">
        <v>0</v>
      </c>
      <c r="G667">
        <v>0</v>
      </c>
      <c r="H667">
        <v>0</v>
      </c>
      <c r="I667">
        <v>0</v>
      </c>
      <c r="J667">
        <v>0</v>
      </c>
      <c r="K667">
        <v>0</v>
      </c>
      <c r="L667">
        <v>0</v>
      </c>
      <c r="M667">
        <v>0</v>
      </c>
      <c r="N667">
        <v>0</v>
      </c>
      <c r="O667">
        <v>0</v>
      </c>
      <c r="P667" s="5">
        <f t="shared" si="112"/>
        <v>0</v>
      </c>
      <c r="Q667">
        <f t="shared" si="113"/>
        <v>0</v>
      </c>
      <c r="R667">
        <f t="shared" si="114"/>
        <v>0</v>
      </c>
      <c r="S667">
        <f t="shared" si="115"/>
        <v>0</v>
      </c>
      <c r="T667">
        <f t="shared" si="116"/>
        <v>0</v>
      </c>
      <c r="U667">
        <f t="shared" si="117"/>
        <v>0</v>
      </c>
      <c r="V667">
        <f t="shared" si="118"/>
        <v>0</v>
      </c>
      <c r="W667">
        <f t="shared" si="119"/>
        <v>0</v>
      </c>
      <c r="X667">
        <f t="shared" si="120"/>
        <v>0</v>
      </c>
      <c r="Y667">
        <f t="shared" si="121"/>
        <v>0</v>
      </c>
      <c r="Z667">
        <f t="shared" si="122"/>
        <v>0</v>
      </c>
      <c r="AA667" t="str">
        <f>INDEX('Priority activities'!$D$5:$D$86,MATCH('Database for analysis'!C667,'Priority activities'!$C$5:$C$86,0))</f>
        <v>n/a</v>
      </c>
    </row>
    <row r="668" spans="2:27" ht="16.5" thickTop="1" thickBot="1" x14ac:dyDescent="0.3">
      <c r="B668" t="s">
        <v>262</v>
      </c>
      <c r="C668" s="22" t="str">
        <f>'Costing inputs'!$C$344</f>
        <v>Storage facilities (n/a)</v>
      </c>
      <c r="D668" s="22" t="str">
        <f>'Costing inputs'!$U$344</f>
        <v>Central level</v>
      </c>
      <c r="E668" s="22" t="str">
        <f>'Regional splits'!$L$14</f>
        <v>Western</v>
      </c>
      <c r="F668">
        <v>0</v>
      </c>
      <c r="G668">
        <v>0</v>
      </c>
      <c r="H668">
        <v>0</v>
      </c>
      <c r="I668">
        <v>0</v>
      </c>
      <c r="J668">
        <v>0</v>
      </c>
      <c r="K668">
        <v>0</v>
      </c>
      <c r="L668">
        <v>0</v>
      </c>
      <c r="M668">
        <v>0</v>
      </c>
      <c r="N668">
        <v>0</v>
      </c>
      <c r="O668">
        <v>0</v>
      </c>
      <c r="P668" s="5">
        <f t="shared" si="112"/>
        <v>0</v>
      </c>
      <c r="Q668">
        <f t="shared" si="113"/>
        <v>0</v>
      </c>
      <c r="R668">
        <f t="shared" si="114"/>
        <v>0</v>
      </c>
      <c r="S668">
        <f t="shared" si="115"/>
        <v>0</v>
      </c>
      <c r="T668">
        <f t="shared" si="116"/>
        <v>0</v>
      </c>
      <c r="U668">
        <f t="shared" si="117"/>
        <v>0</v>
      </c>
      <c r="V668">
        <f t="shared" si="118"/>
        <v>0</v>
      </c>
      <c r="W668">
        <f t="shared" si="119"/>
        <v>0</v>
      </c>
      <c r="X668">
        <f t="shared" si="120"/>
        <v>0</v>
      </c>
      <c r="Y668">
        <f t="shared" si="121"/>
        <v>0</v>
      </c>
      <c r="Z668">
        <f t="shared" si="122"/>
        <v>0</v>
      </c>
      <c r="AA668" t="str">
        <f>INDEX('Priority activities'!$D$5:$D$86,MATCH('Database for analysis'!C668,'Priority activities'!$C$5:$C$86,0))</f>
        <v>n/a</v>
      </c>
    </row>
    <row r="669" spans="2:27" ht="16.5" thickTop="1" thickBot="1" x14ac:dyDescent="0.3">
      <c r="B669" t="s">
        <v>262</v>
      </c>
      <c r="C669" s="22" t="str">
        <f>'Costing inputs'!$C$344</f>
        <v>Storage facilities (n/a)</v>
      </c>
      <c r="D669" s="22" t="str">
        <f>'Costing inputs'!$U$344</f>
        <v>Central level</v>
      </c>
      <c r="E669" s="22">
        <f>'Regional splits'!$M$14</f>
        <v>0</v>
      </c>
      <c r="F669">
        <v>0</v>
      </c>
      <c r="G669">
        <v>0</v>
      </c>
      <c r="H669">
        <v>0</v>
      </c>
      <c r="I669">
        <v>0</v>
      </c>
      <c r="J669">
        <v>0</v>
      </c>
      <c r="K669">
        <v>0</v>
      </c>
      <c r="L669">
        <v>0</v>
      </c>
      <c r="M669">
        <v>0</v>
      </c>
      <c r="N669">
        <v>0</v>
      </c>
      <c r="O669">
        <v>0</v>
      </c>
      <c r="P669" s="5">
        <f t="shared" si="112"/>
        <v>0</v>
      </c>
      <c r="Q669">
        <f t="shared" si="113"/>
        <v>0</v>
      </c>
      <c r="R669">
        <f t="shared" si="114"/>
        <v>0</v>
      </c>
      <c r="S669">
        <f t="shared" si="115"/>
        <v>0</v>
      </c>
      <c r="T669">
        <f t="shared" si="116"/>
        <v>0</v>
      </c>
      <c r="U669">
        <f t="shared" si="117"/>
        <v>0</v>
      </c>
      <c r="V669">
        <f t="shared" si="118"/>
        <v>0</v>
      </c>
      <c r="W669">
        <f t="shared" si="119"/>
        <v>0</v>
      </c>
      <c r="X669">
        <f t="shared" si="120"/>
        <v>0</v>
      </c>
      <c r="Y669">
        <f t="shared" si="121"/>
        <v>0</v>
      </c>
      <c r="Z669">
        <f t="shared" si="122"/>
        <v>0</v>
      </c>
      <c r="AA669" t="str">
        <f>INDEX('Priority activities'!$D$5:$D$86,MATCH('Database for analysis'!C669,'Priority activities'!$C$5:$C$86,0))</f>
        <v>n/a</v>
      </c>
    </row>
    <row r="670" spans="2:27" ht="16.5" thickTop="1" thickBot="1" x14ac:dyDescent="0.3">
      <c r="B670" t="s">
        <v>262</v>
      </c>
      <c r="C670" s="22" t="str">
        <f>'Costing inputs'!$C$344</f>
        <v>Storage facilities (n/a)</v>
      </c>
      <c r="D670" s="22" t="str">
        <f>'Costing inputs'!$U$344</f>
        <v>Central level</v>
      </c>
      <c r="E670" s="22">
        <f>'Regional splits'!$N$14</f>
        <v>0</v>
      </c>
      <c r="F670">
        <v>0</v>
      </c>
      <c r="G670">
        <v>0</v>
      </c>
      <c r="H670">
        <v>0</v>
      </c>
      <c r="I670">
        <v>0</v>
      </c>
      <c r="J670">
        <v>0</v>
      </c>
      <c r="K670">
        <v>0</v>
      </c>
      <c r="L670">
        <v>0</v>
      </c>
      <c r="M670">
        <v>0</v>
      </c>
      <c r="N670">
        <v>0</v>
      </c>
      <c r="O670">
        <v>0</v>
      </c>
      <c r="P670" s="5">
        <f t="shared" si="112"/>
        <v>0</v>
      </c>
      <c r="Q670">
        <f t="shared" si="113"/>
        <v>0</v>
      </c>
      <c r="R670">
        <f t="shared" si="114"/>
        <v>0</v>
      </c>
      <c r="S670">
        <f t="shared" si="115"/>
        <v>0</v>
      </c>
      <c r="T670">
        <f t="shared" si="116"/>
        <v>0</v>
      </c>
      <c r="U670">
        <f t="shared" si="117"/>
        <v>0</v>
      </c>
      <c r="V670">
        <f t="shared" si="118"/>
        <v>0</v>
      </c>
      <c r="W670">
        <f t="shared" si="119"/>
        <v>0</v>
      </c>
      <c r="X670">
        <f t="shared" si="120"/>
        <v>0</v>
      </c>
      <c r="Y670">
        <f t="shared" si="121"/>
        <v>0</v>
      </c>
      <c r="Z670">
        <f t="shared" si="122"/>
        <v>0</v>
      </c>
      <c r="AA670" t="str">
        <f>INDEX('Priority activities'!$D$5:$D$86,MATCH('Database for analysis'!C670,'Priority activities'!$C$5:$C$86,0))</f>
        <v>n/a</v>
      </c>
    </row>
    <row r="671" spans="2:27" ht="16.5" thickTop="1" thickBot="1" x14ac:dyDescent="0.3">
      <c r="B671" t="s">
        <v>262</v>
      </c>
      <c r="C671" s="22" t="str">
        <f>'Costing inputs'!$C$344</f>
        <v>Storage facilities (n/a)</v>
      </c>
      <c r="D671" s="22" t="str">
        <f>'Costing inputs'!$U$344</f>
        <v>Central level</v>
      </c>
      <c r="E671" s="22">
        <f>'Regional splits'!$O$14</f>
        <v>0</v>
      </c>
      <c r="F671">
        <v>0</v>
      </c>
      <c r="G671">
        <v>0</v>
      </c>
      <c r="H671">
        <v>0</v>
      </c>
      <c r="I671">
        <v>0</v>
      </c>
      <c r="J671">
        <v>0</v>
      </c>
      <c r="K671">
        <v>0</v>
      </c>
      <c r="L671">
        <v>0</v>
      </c>
      <c r="M671">
        <v>0</v>
      </c>
      <c r="N671">
        <v>0</v>
      </c>
      <c r="O671">
        <v>0</v>
      </c>
      <c r="P671" s="5">
        <f t="shared" si="112"/>
        <v>0</v>
      </c>
      <c r="Q671">
        <f t="shared" si="113"/>
        <v>0</v>
      </c>
      <c r="R671">
        <f t="shared" si="114"/>
        <v>0</v>
      </c>
      <c r="S671">
        <f t="shared" si="115"/>
        <v>0</v>
      </c>
      <c r="T671">
        <f t="shared" si="116"/>
        <v>0</v>
      </c>
      <c r="U671">
        <f t="shared" si="117"/>
        <v>0</v>
      </c>
      <c r="V671">
        <f t="shared" si="118"/>
        <v>0</v>
      </c>
      <c r="W671">
        <f t="shared" si="119"/>
        <v>0</v>
      </c>
      <c r="X671">
        <f t="shared" si="120"/>
        <v>0</v>
      </c>
      <c r="Y671">
        <f t="shared" si="121"/>
        <v>0</v>
      </c>
      <c r="Z671">
        <f t="shared" si="122"/>
        <v>0</v>
      </c>
      <c r="AA671" t="str">
        <f>INDEX('Priority activities'!$D$5:$D$86,MATCH('Database for analysis'!C671,'Priority activities'!$C$5:$C$86,0))</f>
        <v>n/a</v>
      </c>
    </row>
    <row r="672" spans="2:27" ht="16.5" thickTop="1" thickBot="1" x14ac:dyDescent="0.3">
      <c r="B672" t="s">
        <v>262</v>
      </c>
      <c r="C672" s="22" t="str">
        <f>'Costing inputs'!$C$344</f>
        <v>Storage facilities (n/a)</v>
      </c>
      <c r="D672" s="22" t="str">
        <f>'Costing inputs'!$U$344</f>
        <v>Central level</v>
      </c>
      <c r="E672" s="22">
        <f>'Regional splits'!$P$14</f>
        <v>0</v>
      </c>
      <c r="F672">
        <v>0</v>
      </c>
      <c r="G672">
        <v>0</v>
      </c>
      <c r="H672">
        <v>0</v>
      </c>
      <c r="I672">
        <v>0</v>
      </c>
      <c r="J672">
        <v>0</v>
      </c>
      <c r="K672">
        <v>0</v>
      </c>
      <c r="L672">
        <v>0</v>
      </c>
      <c r="M672">
        <v>0</v>
      </c>
      <c r="N672">
        <v>0</v>
      </c>
      <c r="O672">
        <v>0</v>
      </c>
      <c r="P672" s="5">
        <f t="shared" si="112"/>
        <v>0</v>
      </c>
      <c r="Q672">
        <f t="shared" si="113"/>
        <v>0</v>
      </c>
      <c r="R672">
        <f t="shared" si="114"/>
        <v>0</v>
      </c>
      <c r="S672">
        <f t="shared" si="115"/>
        <v>0</v>
      </c>
      <c r="T672">
        <f t="shared" si="116"/>
        <v>0</v>
      </c>
      <c r="U672">
        <f t="shared" si="117"/>
        <v>0</v>
      </c>
      <c r="V672">
        <f t="shared" si="118"/>
        <v>0</v>
      </c>
      <c r="W672">
        <f t="shared" si="119"/>
        <v>0</v>
      </c>
      <c r="X672">
        <f t="shared" si="120"/>
        <v>0</v>
      </c>
      <c r="Y672">
        <f t="shared" si="121"/>
        <v>0</v>
      </c>
      <c r="Z672">
        <f t="shared" si="122"/>
        <v>0</v>
      </c>
      <c r="AA672" t="str">
        <f>INDEX('Priority activities'!$D$5:$D$86,MATCH('Database for analysis'!C672,'Priority activities'!$C$5:$C$86,0))</f>
        <v>n/a</v>
      </c>
    </row>
    <row r="673" spans="2:27" ht="16.5" thickTop="1" thickBot="1" x14ac:dyDescent="0.3">
      <c r="B673" t="s">
        <v>262</v>
      </c>
      <c r="C673" s="22" t="str">
        <f>'Costing inputs'!$C$344</f>
        <v>Storage facilities (n/a)</v>
      </c>
      <c r="D673" s="22" t="str">
        <f>'Costing inputs'!$U$344</f>
        <v>Central level</v>
      </c>
      <c r="E673" s="22">
        <f>'Regional splits'!$Q$14</f>
        <v>0</v>
      </c>
      <c r="F673">
        <v>0</v>
      </c>
      <c r="G673">
        <v>0</v>
      </c>
      <c r="H673">
        <v>0</v>
      </c>
      <c r="I673">
        <v>0</v>
      </c>
      <c r="J673">
        <v>0</v>
      </c>
      <c r="K673">
        <v>0</v>
      </c>
      <c r="L673">
        <v>0</v>
      </c>
      <c r="M673">
        <v>0</v>
      </c>
      <c r="N673">
        <v>0</v>
      </c>
      <c r="O673">
        <v>0</v>
      </c>
      <c r="P673" s="5">
        <f t="shared" si="112"/>
        <v>0</v>
      </c>
      <c r="Q673">
        <f t="shared" si="113"/>
        <v>0</v>
      </c>
      <c r="R673">
        <f t="shared" si="114"/>
        <v>0</v>
      </c>
      <c r="S673">
        <f t="shared" si="115"/>
        <v>0</v>
      </c>
      <c r="T673">
        <f t="shared" si="116"/>
        <v>0</v>
      </c>
      <c r="U673">
        <f t="shared" si="117"/>
        <v>0</v>
      </c>
      <c r="V673">
        <f t="shared" si="118"/>
        <v>0</v>
      </c>
      <c r="W673">
        <f t="shared" si="119"/>
        <v>0</v>
      </c>
      <c r="X673">
        <f t="shared" si="120"/>
        <v>0</v>
      </c>
      <c r="Y673">
        <f t="shared" si="121"/>
        <v>0</v>
      </c>
      <c r="Z673">
        <f t="shared" si="122"/>
        <v>0</v>
      </c>
      <c r="AA673" t="str">
        <f>INDEX('Priority activities'!$D$5:$D$86,MATCH('Database for analysis'!C673,'Priority activities'!$C$5:$C$86,0))</f>
        <v>n/a</v>
      </c>
    </row>
    <row r="674" spans="2:27" ht="16.5" thickTop="1" thickBot="1" x14ac:dyDescent="0.3">
      <c r="B674" t="s">
        <v>262</v>
      </c>
      <c r="C674" s="22" t="str">
        <f>'Costing inputs'!$C$344</f>
        <v>Storage facilities (n/a)</v>
      </c>
      <c r="D674" s="22" t="str">
        <f>'Costing inputs'!$U$344</f>
        <v>Central level</v>
      </c>
      <c r="E674" s="22" t="str">
        <f>'Regional splits'!$R$14</f>
        <v>National-level</v>
      </c>
      <c r="F674">
        <v>0</v>
      </c>
      <c r="G674">
        <v>0</v>
      </c>
      <c r="H674">
        <v>0</v>
      </c>
      <c r="I674">
        <v>0</v>
      </c>
      <c r="J674">
        <v>0</v>
      </c>
      <c r="K674">
        <v>0</v>
      </c>
      <c r="L674">
        <v>0</v>
      </c>
      <c r="M674">
        <v>0</v>
      </c>
      <c r="N674">
        <v>0</v>
      </c>
      <c r="O674">
        <v>0</v>
      </c>
      <c r="P674" s="5">
        <f t="shared" si="112"/>
        <v>0</v>
      </c>
      <c r="Q674">
        <f t="shared" si="113"/>
        <v>0</v>
      </c>
      <c r="R674">
        <f t="shared" si="114"/>
        <v>0</v>
      </c>
      <c r="S674">
        <f t="shared" si="115"/>
        <v>0</v>
      </c>
      <c r="T674">
        <f t="shared" si="116"/>
        <v>0</v>
      </c>
      <c r="U674">
        <f t="shared" si="117"/>
        <v>0</v>
      </c>
      <c r="V674">
        <f t="shared" si="118"/>
        <v>0</v>
      </c>
      <c r="W674">
        <f t="shared" si="119"/>
        <v>0</v>
      </c>
      <c r="X674">
        <f t="shared" si="120"/>
        <v>0</v>
      </c>
      <c r="Y674">
        <f t="shared" si="121"/>
        <v>0</v>
      </c>
      <c r="Z674">
        <f t="shared" si="122"/>
        <v>0</v>
      </c>
      <c r="AA674" t="str">
        <f>INDEX('Priority activities'!$D$5:$D$86,MATCH('Database for analysis'!C674,'Priority activities'!$C$5:$C$86,0))</f>
        <v>n/a</v>
      </c>
    </row>
    <row r="675" spans="2:27" ht="16.5" thickTop="1" thickBot="1" x14ac:dyDescent="0.3">
      <c r="B675" t="s">
        <v>262</v>
      </c>
      <c r="C675" s="22" t="str">
        <f>'Costing inputs'!$C$356</f>
        <v>Meeting to consider prepacking commodities (PSC1.2)</v>
      </c>
      <c r="D675" s="22" t="str">
        <f>'Costing inputs'!$U$356</f>
        <v>Central level</v>
      </c>
      <c r="E675" s="22" t="str">
        <f>'Regional splits'!$C$14</f>
        <v>Central</v>
      </c>
      <c r="F675">
        <f t="array" ref="F675:O690">'Costing inputs'!S356*'Costing inputs'!AP356:AY356*TRANSPOSE('Costing inputs'!W356:AL356)</f>
        <v>0</v>
      </c>
      <c r="G675">
        <v>0</v>
      </c>
      <c r="H675">
        <v>0</v>
      </c>
      <c r="I675">
        <v>0</v>
      </c>
      <c r="J675">
        <v>0</v>
      </c>
      <c r="K675">
        <v>0</v>
      </c>
      <c r="L675">
        <v>0</v>
      </c>
      <c r="M675">
        <v>0</v>
      </c>
      <c r="N675">
        <v>0</v>
      </c>
      <c r="O675">
        <v>0</v>
      </c>
      <c r="P675" s="5">
        <f t="shared" si="112"/>
        <v>0</v>
      </c>
      <c r="Q675">
        <f t="shared" si="113"/>
        <v>0</v>
      </c>
      <c r="R675">
        <f t="shared" si="114"/>
        <v>0</v>
      </c>
      <c r="S675">
        <f t="shared" si="115"/>
        <v>0</v>
      </c>
      <c r="T675">
        <f t="shared" si="116"/>
        <v>0</v>
      </c>
      <c r="U675">
        <f t="shared" si="117"/>
        <v>0</v>
      </c>
      <c r="V675">
        <f t="shared" si="118"/>
        <v>0</v>
      </c>
      <c r="W675">
        <f t="shared" si="119"/>
        <v>0</v>
      </c>
      <c r="X675">
        <f t="shared" si="120"/>
        <v>0</v>
      </c>
      <c r="Y675">
        <f t="shared" si="121"/>
        <v>0</v>
      </c>
      <c r="Z675">
        <f t="shared" si="122"/>
        <v>0</v>
      </c>
      <c r="AA675" t="str">
        <f>INDEX('Priority activities'!$D$5:$D$86,MATCH('Database for analysis'!C675,'Priority activities'!$C$5:$C$86,0))</f>
        <v>n/a</v>
      </c>
    </row>
    <row r="676" spans="2:27" ht="16.5" thickTop="1" thickBot="1" x14ac:dyDescent="0.3">
      <c r="B676" t="s">
        <v>262</v>
      </c>
      <c r="C676" s="22" t="str">
        <f>'Costing inputs'!$C$356</f>
        <v>Meeting to consider prepacking commodities (PSC1.2)</v>
      </c>
      <c r="D676" s="22" t="str">
        <f>'Costing inputs'!$U$356</f>
        <v>Central level</v>
      </c>
      <c r="E676" s="22" t="str">
        <f>'Regional splits'!$D$14</f>
        <v>Copperbelt</v>
      </c>
      <c r="F676">
        <v>0</v>
      </c>
      <c r="G676">
        <v>0</v>
      </c>
      <c r="H676">
        <v>0</v>
      </c>
      <c r="I676">
        <v>0</v>
      </c>
      <c r="J676">
        <v>0</v>
      </c>
      <c r="K676">
        <v>0</v>
      </c>
      <c r="L676">
        <v>0</v>
      </c>
      <c r="M676">
        <v>0</v>
      </c>
      <c r="N676">
        <v>0</v>
      </c>
      <c r="O676">
        <v>0</v>
      </c>
      <c r="P676" s="5">
        <f t="shared" si="112"/>
        <v>0</v>
      </c>
      <c r="Q676">
        <f t="shared" si="113"/>
        <v>0</v>
      </c>
      <c r="R676">
        <f t="shared" si="114"/>
        <v>0</v>
      </c>
      <c r="S676">
        <f t="shared" si="115"/>
        <v>0</v>
      </c>
      <c r="T676">
        <f t="shared" si="116"/>
        <v>0</v>
      </c>
      <c r="U676">
        <f t="shared" si="117"/>
        <v>0</v>
      </c>
      <c r="V676">
        <f t="shared" si="118"/>
        <v>0</v>
      </c>
      <c r="W676">
        <f t="shared" si="119"/>
        <v>0</v>
      </c>
      <c r="X676">
        <f t="shared" si="120"/>
        <v>0</v>
      </c>
      <c r="Y676">
        <f t="shared" si="121"/>
        <v>0</v>
      </c>
      <c r="Z676">
        <f t="shared" si="122"/>
        <v>0</v>
      </c>
      <c r="AA676" t="str">
        <f>INDEX('Priority activities'!$D$5:$D$86,MATCH('Database for analysis'!C676,'Priority activities'!$C$5:$C$86,0))</f>
        <v>n/a</v>
      </c>
    </row>
    <row r="677" spans="2:27" ht="16.5" thickTop="1" thickBot="1" x14ac:dyDescent="0.3">
      <c r="B677" t="s">
        <v>262</v>
      </c>
      <c r="C677" s="22" t="str">
        <f>'Costing inputs'!$C$356</f>
        <v>Meeting to consider prepacking commodities (PSC1.2)</v>
      </c>
      <c r="D677" s="22" t="str">
        <f>'Costing inputs'!$U$356</f>
        <v>Central level</v>
      </c>
      <c r="E677" s="22" t="str">
        <f>'Regional splits'!$E$14</f>
        <v>Eastern</v>
      </c>
      <c r="F677">
        <v>0</v>
      </c>
      <c r="G677">
        <v>0</v>
      </c>
      <c r="H677">
        <v>0</v>
      </c>
      <c r="I677">
        <v>0</v>
      </c>
      <c r="J677">
        <v>0</v>
      </c>
      <c r="K677">
        <v>0</v>
      </c>
      <c r="L677">
        <v>0</v>
      </c>
      <c r="M677">
        <v>0</v>
      </c>
      <c r="N677">
        <v>0</v>
      </c>
      <c r="O677">
        <v>0</v>
      </c>
      <c r="P677" s="5">
        <f t="shared" si="112"/>
        <v>0</v>
      </c>
      <c r="Q677">
        <f t="shared" si="113"/>
        <v>0</v>
      </c>
      <c r="R677">
        <f t="shared" si="114"/>
        <v>0</v>
      </c>
      <c r="S677">
        <f t="shared" si="115"/>
        <v>0</v>
      </c>
      <c r="T677">
        <f t="shared" si="116"/>
        <v>0</v>
      </c>
      <c r="U677">
        <f t="shared" si="117"/>
        <v>0</v>
      </c>
      <c r="V677">
        <f t="shared" si="118"/>
        <v>0</v>
      </c>
      <c r="W677">
        <f t="shared" si="119"/>
        <v>0</v>
      </c>
      <c r="X677">
        <f t="shared" si="120"/>
        <v>0</v>
      </c>
      <c r="Y677">
        <f t="shared" si="121"/>
        <v>0</v>
      </c>
      <c r="Z677">
        <f t="shared" si="122"/>
        <v>0</v>
      </c>
      <c r="AA677" t="str">
        <f>INDEX('Priority activities'!$D$5:$D$86,MATCH('Database for analysis'!C677,'Priority activities'!$C$5:$C$86,0))</f>
        <v>n/a</v>
      </c>
    </row>
    <row r="678" spans="2:27" ht="16.5" thickTop="1" thickBot="1" x14ac:dyDescent="0.3">
      <c r="B678" t="s">
        <v>262</v>
      </c>
      <c r="C678" s="22" t="str">
        <f>'Costing inputs'!$C$356</f>
        <v>Meeting to consider prepacking commodities (PSC1.2)</v>
      </c>
      <c r="D678" s="22" t="str">
        <f>'Costing inputs'!$U$356</f>
        <v>Central level</v>
      </c>
      <c r="E678" s="22" t="str">
        <f>'Regional splits'!$F$14</f>
        <v>Luapula</v>
      </c>
      <c r="F678">
        <v>0</v>
      </c>
      <c r="G678">
        <v>0</v>
      </c>
      <c r="H678">
        <v>0</v>
      </c>
      <c r="I678">
        <v>0</v>
      </c>
      <c r="J678">
        <v>0</v>
      </c>
      <c r="K678">
        <v>0</v>
      </c>
      <c r="L678">
        <v>0</v>
      </c>
      <c r="M678">
        <v>0</v>
      </c>
      <c r="N678">
        <v>0</v>
      </c>
      <c r="O678">
        <v>0</v>
      </c>
      <c r="P678" s="5">
        <f t="shared" si="112"/>
        <v>0</v>
      </c>
      <c r="Q678">
        <f t="shared" si="113"/>
        <v>0</v>
      </c>
      <c r="R678">
        <f t="shared" si="114"/>
        <v>0</v>
      </c>
      <c r="S678">
        <f t="shared" si="115"/>
        <v>0</v>
      </c>
      <c r="T678">
        <f t="shared" si="116"/>
        <v>0</v>
      </c>
      <c r="U678">
        <f t="shared" si="117"/>
        <v>0</v>
      </c>
      <c r="V678">
        <f t="shared" si="118"/>
        <v>0</v>
      </c>
      <c r="W678">
        <f t="shared" si="119"/>
        <v>0</v>
      </c>
      <c r="X678">
        <f t="shared" si="120"/>
        <v>0</v>
      </c>
      <c r="Y678">
        <f t="shared" si="121"/>
        <v>0</v>
      </c>
      <c r="Z678">
        <f t="shared" si="122"/>
        <v>0</v>
      </c>
      <c r="AA678" t="str">
        <f>INDEX('Priority activities'!$D$5:$D$86,MATCH('Database for analysis'!C678,'Priority activities'!$C$5:$C$86,0))</f>
        <v>n/a</v>
      </c>
    </row>
    <row r="679" spans="2:27" ht="16.5" thickTop="1" thickBot="1" x14ac:dyDescent="0.3">
      <c r="B679" t="s">
        <v>262</v>
      </c>
      <c r="C679" s="22" t="str">
        <f>'Costing inputs'!$C$356</f>
        <v>Meeting to consider prepacking commodities (PSC1.2)</v>
      </c>
      <c r="D679" s="22" t="str">
        <f>'Costing inputs'!$U$356</f>
        <v>Central level</v>
      </c>
      <c r="E679" s="22" t="str">
        <f>'Regional splits'!$G$14</f>
        <v>Lusaka</v>
      </c>
      <c r="F679">
        <v>0</v>
      </c>
      <c r="G679">
        <v>0</v>
      </c>
      <c r="H679">
        <v>0</v>
      </c>
      <c r="I679">
        <v>0</v>
      </c>
      <c r="J679">
        <v>0</v>
      </c>
      <c r="K679">
        <v>0</v>
      </c>
      <c r="L679">
        <v>0</v>
      </c>
      <c r="M679">
        <v>0</v>
      </c>
      <c r="N679">
        <v>0</v>
      </c>
      <c r="O679">
        <v>0</v>
      </c>
      <c r="P679" s="5">
        <f t="shared" si="112"/>
        <v>0</v>
      </c>
      <c r="Q679">
        <f t="shared" si="113"/>
        <v>0</v>
      </c>
      <c r="R679">
        <f t="shared" si="114"/>
        <v>0</v>
      </c>
      <c r="S679">
        <f t="shared" si="115"/>
        <v>0</v>
      </c>
      <c r="T679">
        <f t="shared" si="116"/>
        <v>0</v>
      </c>
      <c r="U679">
        <f t="shared" si="117"/>
        <v>0</v>
      </c>
      <c r="V679">
        <f t="shared" si="118"/>
        <v>0</v>
      </c>
      <c r="W679">
        <f t="shared" si="119"/>
        <v>0</v>
      </c>
      <c r="X679">
        <f t="shared" si="120"/>
        <v>0</v>
      </c>
      <c r="Y679">
        <f t="shared" si="121"/>
        <v>0</v>
      </c>
      <c r="Z679">
        <f t="shared" si="122"/>
        <v>0</v>
      </c>
      <c r="AA679" t="str">
        <f>INDEX('Priority activities'!$D$5:$D$86,MATCH('Database for analysis'!C679,'Priority activities'!$C$5:$C$86,0))</f>
        <v>n/a</v>
      </c>
    </row>
    <row r="680" spans="2:27" ht="16.5" thickTop="1" thickBot="1" x14ac:dyDescent="0.3">
      <c r="B680" t="s">
        <v>262</v>
      </c>
      <c r="C680" s="22" t="str">
        <f>'Costing inputs'!$C$356</f>
        <v>Meeting to consider prepacking commodities (PSC1.2)</v>
      </c>
      <c r="D680" s="22" t="str">
        <f>'Costing inputs'!$U$356</f>
        <v>Central level</v>
      </c>
      <c r="E680" s="22" t="str">
        <f>'Regional splits'!$H$14</f>
        <v>Muchinga</v>
      </c>
      <c r="F680">
        <v>0</v>
      </c>
      <c r="G680">
        <v>0</v>
      </c>
      <c r="H680">
        <v>0</v>
      </c>
      <c r="I680">
        <v>0</v>
      </c>
      <c r="J680">
        <v>0</v>
      </c>
      <c r="K680">
        <v>0</v>
      </c>
      <c r="L680">
        <v>0</v>
      </c>
      <c r="M680">
        <v>0</v>
      </c>
      <c r="N680">
        <v>0</v>
      </c>
      <c r="O680">
        <v>0</v>
      </c>
      <c r="P680" s="5">
        <f t="shared" si="112"/>
        <v>0</v>
      </c>
      <c r="Q680">
        <f t="shared" si="113"/>
        <v>0</v>
      </c>
      <c r="R680">
        <f t="shared" si="114"/>
        <v>0</v>
      </c>
      <c r="S680">
        <f t="shared" si="115"/>
        <v>0</v>
      </c>
      <c r="T680">
        <f t="shared" si="116"/>
        <v>0</v>
      </c>
      <c r="U680">
        <f t="shared" si="117"/>
        <v>0</v>
      </c>
      <c r="V680">
        <f t="shared" si="118"/>
        <v>0</v>
      </c>
      <c r="W680">
        <f t="shared" si="119"/>
        <v>0</v>
      </c>
      <c r="X680">
        <f t="shared" si="120"/>
        <v>0</v>
      </c>
      <c r="Y680">
        <f t="shared" si="121"/>
        <v>0</v>
      </c>
      <c r="Z680">
        <f t="shared" si="122"/>
        <v>0</v>
      </c>
      <c r="AA680" t="str">
        <f>INDEX('Priority activities'!$D$5:$D$86,MATCH('Database for analysis'!C680,'Priority activities'!$C$5:$C$86,0))</f>
        <v>n/a</v>
      </c>
    </row>
    <row r="681" spans="2:27" ht="16.5" thickTop="1" thickBot="1" x14ac:dyDescent="0.3">
      <c r="B681" t="s">
        <v>262</v>
      </c>
      <c r="C681" s="22" t="str">
        <f>'Costing inputs'!$C$356</f>
        <v>Meeting to consider prepacking commodities (PSC1.2)</v>
      </c>
      <c r="D681" s="22" t="str">
        <f>'Costing inputs'!$U$356</f>
        <v>Central level</v>
      </c>
      <c r="E681" s="22" t="str">
        <f>'Regional splits'!$I$14</f>
        <v>Northern</v>
      </c>
      <c r="F681">
        <v>0</v>
      </c>
      <c r="G681">
        <v>0</v>
      </c>
      <c r="H681">
        <v>0</v>
      </c>
      <c r="I681">
        <v>0</v>
      </c>
      <c r="J681">
        <v>0</v>
      </c>
      <c r="K681">
        <v>0</v>
      </c>
      <c r="L681">
        <v>0</v>
      </c>
      <c r="M681">
        <v>0</v>
      </c>
      <c r="N681">
        <v>0</v>
      </c>
      <c r="O681">
        <v>0</v>
      </c>
      <c r="P681" s="5">
        <f t="shared" si="112"/>
        <v>0</v>
      </c>
      <c r="Q681">
        <f t="shared" si="113"/>
        <v>0</v>
      </c>
      <c r="R681">
        <f t="shared" si="114"/>
        <v>0</v>
      </c>
      <c r="S681">
        <f t="shared" si="115"/>
        <v>0</v>
      </c>
      <c r="T681">
        <f t="shared" si="116"/>
        <v>0</v>
      </c>
      <c r="U681">
        <f t="shared" si="117"/>
        <v>0</v>
      </c>
      <c r="V681">
        <f t="shared" si="118"/>
        <v>0</v>
      </c>
      <c r="W681">
        <f t="shared" si="119"/>
        <v>0</v>
      </c>
      <c r="X681">
        <f t="shared" si="120"/>
        <v>0</v>
      </c>
      <c r="Y681">
        <f t="shared" si="121"/>
        <v>0</v>
      </c>
      <c r="Z681">
        <f t="shared" si="122"/>
        <v>0</v>
      </c>
      <c r="AA681" t="str">
        <f>INDEX('Priority activities'!$D$5:$D$86,MATCH('Database for analysis'!C681,'Priority activities'!$C$5:$C$86,0))</f>
        <v>n/a</v>
      </c>
    </row>
    <row r="682" spans="2:27" ht="16.5" thickTop="1" thickBot="1" x14ac:dyDescent="0.3">
      <c r="B682" t="s">
        <v>262</v>
      </c>
      <c r="C682" s="22" t="str">
        <f>'Costing inputs'!$C$356</f>
        <v>Meeting to consider prepacking commodities (PSC1.2)</v>
      </c>
      <c r="D682" s="22" t="str">
        <f>'Costing inputs'!$U$356</f>
        <v>Central level</v>
      </c>
      <c r="E682" s="22" t="str">
        <f>'Regional splits'!$J$14</f>
        <v>North Western</v>
      </c>
      <c r="F682">
        <v>0</v>
      </c>
      <c r="G682">
        <v>0</v>
      </c>
      <c r="H682">
        <v>0</v>
      </c>
      <c r="I682">
        <v>0</v>
      </c>
      <c r="J682">
        <v>0</v>
      </c>
      <c r="K682">
        <v>0</v>
      </c>
      <c r="L682">
        <v>0</v>
      </c>
      <c r="M682">
        <v>0</v>
      </c>
      <c r="N682">
        <v>0</v>
      </c>
      <c r="O682">
        <v>0</v>
      </c>
      <c r="P682" s="5">
        <f t="shared" si="112"/>
        <v>0</v>
      </c>
      <c r="Q682">
        <f t="shared" si="113"/>
        <v>0</v>
      </c>
      <c r="R682">
        <f t="shared" si="114"/>
        <v>0</v>
      </c>
      <c r="S682">
        <f t="shared" si="115"/>
        <v>0</v>
      </c>
      <c r="T682">
        <f t="shared" si="116"/>
        <v>0</v>
      </c>
      <c r="U682">
        <f t="shared" si="117"/>
        <v>0</v>
      </c>
      <c r="V682">
        <f t="shared" si="118"/>
        <v>0</v>
      </c>
      <c r="W682">
        <f t="shared" si="119"/>
        <v>0</v>
      </c>
      <c r="X682">
        <f t="shared" si="120"/>
        <v>0</v>
      </c>
      <c r="Y682">
        <f t="shared" si="121"/>
        <v>0</v>
      </c>
      <c r="Z682">
        <f t="shared" si="122"/>
        <v>0</v>
      </c>
      <c r="AA682" t="str">
        <f>INDEX('Priority activities'!$D$5:$D$86,MATCH('Database for analysis'!C682,'Priority activities'!$C$5:$C$86,0))</f>
        <v>n/a</v>
      </c>
    </row>
    <row r="683" spans="2:27" ht="16.5" thickTop="1" thickBot="1" x14ac:dyDescent="0.3">
      <c r="B683" t="s">
        <v>262</v>
      </c>
      <c r="C683" s="22" t="str">
        <f>'Costing inputs'!$C$356</f>
        <v>Meeting to consider prepacking commodities (PSC1.2)</v>
      </c>
      <c r="D683" s="22" t="str">
        <f>'Costing inputs'!$U$356</f>
        <v>Central level</v>
      </c>
      <c r="E683" s="22" t="str">
        <f>'Regional splits'!$K$14</f>
        <v>Southern</v>
      </c>
      <c r="F683">
        <v>0</v>
      </c>
      <c r="G683">
        <v>0</v>
      </c>
      <c r="H683">
        <v>0</v>
      </c>
      <c r="I683">
        <v>0</v>
      </c>
      <c r="J683">
        <v>0</v>
      </c>
      <c r="K683">
        <v>0</v>
      </c>
      <c r="L683">
        <v>0</v>
      </c>
      <c r="M683">
        <v>0</v>
      </c>
      <c r="N683">
        <v>0</v>
      </c>
      <c r="O683">
        <v>0</v>
      </c>
      <c r="P683" s="5">
        <f t="shared" si="112"/>
        <v>0</v>
      </c>
      <c r="Q683">
        <f t="shared" si="113"/>
        <v>0</v>
      </c>
      <c r="R683">
        <f t="shared" si="114"/>
        <v>0</v>
      </c>
      <c r="S683">
        <f t="shared" si="115"/>
        <v>0</v>
      </c>
      <c r="T683">
        <f t="shared" si="116"/>
        <v>0</v>
      </c>
      <c r="U683">
        <f t="shared" si="117"/>
        <v>0</v>
      </c>
      <c r="V683">
        <f t="shared" si="118"/>
        <v>0</v>
      </c>
      <c r="W683">
        <f t="shared" si="119"/>
        <v>0</v>
      </c>
      <c r="X683">
        <f t="shared" si="120"/>
        <v>0</v>
      </c>
      <c r="Y683">
        <f t="shared" si="121"/>
        <v>0</v>
      </c>
      <c r="Z683">
        <f t="shared" si="122"/>
        <v>0</v>
      </c>
      <c r="AA683" t="str">
        <f>INDEX('Priority activities'!$D$5:$D$86,MATCH('Database for analysis'!C683,'Priority activities'!$C$5:$C$86,0))</f>
        <v>n/a</v>
      </c>
    </row>
    <row r="684" spans="2:27" ht="16.5" thickTop="1" thickBot="1" x14ac:dyDescent="0.3">
      <c r="B684" t="s">
        <v>262</v>
      </c>
      <c r="C684" s="22" t="str">
        <f>'Costing inputs'!$C$356</f>
        <v>Meeting to consider prepacking commodities (PSC1.2)</v>
      </c>
      <c r="D684" s="22" t="str">
        <f>'Costing inputs'!$U$356</f>
        <v>Central level</v>
      </c>
      <c r="E684" s="22" t="str">
        <f>'Regional splits'!$L$14</f>
        <v>Western</v>
      </c>
      <c r="F684">
        <v>0</v>
      </c>
      <c r="G684">
        <v>0</v>
      </c>
      <c r="H684">
        <v>0</v>
      </c>
      <c r="I684">
        <v>0</v>
      </c>
      <c r="J684">
        <v>0</v>
      </c>
      <c r="K684">
        <v>0</v>
      </c>
      <c r="L684">
        <v>0</v>
      </c>
      <c r="M684">
        <v>0</v>
      </c>
      <c r="N684">
        <v>0</v>
      </c>
      <c r="O684">
        <v>0</v>
      </c>
      <c r="P684" s="5">
        <f t="shared" si="112"/>
        <v>0</v>
      </c>
      <c r="Q684">
        <f t="shared" si="113"/>
        <v>0</v>
      </c>
      <c r="R684">
        <f t="shared" si="114"/>
        <v>0</v>
      </c>
      <c r="S684">
        <f t="shared" si="115"/>
        <v>0</v>
      </c>
      <c r="T684">
        <f t="shared" si="116"/>
        <v>0</v>
      </c>
      <c r="U684">
        <f t="shared" si="117"/>
        <v>0</v>
      </c>
      <c r="V684">
        <f t="shared" si="118"/>
        <v>0</v>
      </c>
      <c r="W684">
        <f t="shared" si="119"/>
        <v>0</v>
      </c>
      <c r="X684">
        <f t="shared" si="120"/>
        <v>0</v>
      </c>
      <c r="Y684">
        <f t="shared" si="121"/>
        <v>0</v>
      </c>
      <c r="Z684">
        <f t="shared" si="122"/>
        <v>0</v>
      </c>
      <c r="AA684" t="str">
        <f>INDEX('Priority activities'!$D$5:$D$86,MATCH('Database for analysis'!C684,'Priority activities'!$C$5:$C$86,0))</f>
        <v>n/a</v>
      </c>
    </row>
    <row r="685" spans="2:27" ht="16.5" thickTop="1" thickBot="1" x14ac:dyDescent="0.3">
      <c r="B685" t="s">
        <v>262</v>
      </c>
      <c r="C685" s="22" t="str">
        <f>'Costing inputs'!$C$356</f>
        <v>Meeting to consider prepacking commodities (PSC1.2)</v>
      </c>
      <c r="D685" s="22" t="str">
        <f>'Costing inputs'!$U$356</f>
        <v>Central level</v>
      </c>
      <c r="E685" s="22">
        <f>'Regional splits'!$M$14</f>
        <v>0</v>
      </c>
      <c r="F685">
        <v>0</v>
      </c>
      <c r="G685">
        <v>0</v>
      </c>
      <c r="H685">
        <v>0</v>
      </c>
      <c r="I685">
        <v>0</v>
      </c>
      <c r="J685">
        <v>0</v>
      </c>
      <c r="K685">
        <v>0</v>
      </c>
      <c r="L685">
        <v>0</v>
      </c>
      <c r="M685">
        <v>0</v>
      </c>
      <c r="N685">
        <v>0</v>
      </c>
      <c r="O685">
        <v>0</v>
      </c>
      <c r="P685" s="5">
        <f t="shared" si="112"/>
        <v>0</v>
      </c>
      <c r="Q685">
        <f t="shared" si="113"/>
        <v>0</v>
      </c>
      <c r="R685">
        <f t="shared" si="114"/>
        <v>0</v>
      </c>
      <c r="S685">
        <f t="shared" si="115"/>
        <v>0</v>
      </c>
      <c r="T685">
        <f t="shared" si="116"/>
        <v>0</v>
      </c>
      <c r="U685">
        <f t="shared" si="117"/>
        <v>0</v>
      </c>
      <c r="V685">
        <f t="shared" si="118"/>
        <v>0</v>
      </c>
      <c r="W685">
        <f t="shared" si="119"/>
        <v>0</v>
      </c>
      <c r="X685">
        <f t="shared" si="120"/>
        <v>0</v>
      </c>
      <c r="Y685">
        <f t="shared" si="121"/>
        <v>0</v>
      </c>
      <c r="Z685">
        <f t="shared" si="122"/>
        <v>0</v>
      </c>
      <c r="AA685" t="str">
        <f>INDEX('Priority activities'!$D$5:$D$86,MATCH('Database for analysis'!C685,'Priority activities'!$C$5:$C$86,0))</f>
        <v>n/a</v>
      </c>
    </row>
    <row r="686" spans="2:27" ht="16.5" thickTop="1" thickBot="1" x14ac:dyDescent="0.3">
      <c r="B686" t="s">
        <v>262</v>
      </c>
      <c r="C686" s="22" t="str">
        <f>'Costing inputs'!$C$356</f>
        <v>Meeting to consider prepacking commodities (PSC1.2)</v>
      </c>
      <c r="D686" s="22" t="str">
        <f>'Costing inputs'!$U$356</f>
        <v>Central level</v>
      </c>
      <c r="E686" s="22">
        <f>'Regional splits'!$N$14</f>
        <v>0</v>
      </c>
      <c r="F686">
        <v>0</v>
      </c>
      <c r="G686">
        <v>0</v>
      </c>
      <c r="H686">
        <v>0</v>
      </c>
      <c r="I686">
        <v>0</v>
      </c>
      <c r="J686">
        <v>0</v>
      </c>
      <c r="K686">
        <v>0</v>
      </c>
      <c r="L686">
        <v>0</v>
      </c>
      <c r="M686">
        <v>0</v>
      </c>
      <c r="N686">
        <v>0</v>
      </c>
      <c r="O686">
        <v>0</v>
      </c>
      <c r="P686" s="5">
        <f t="shared" si="112"/>
        <v>0</v>
      </c>
      <c r="Q686">
        <f t="shared" si="113"/>
        <v>0</v>
      </c>
      <c r="R686">
        <f t="shared" si="114"/>
        <v>0</v>
      </c>
      <c r="S686">
        <f t="shared" si="115"/>
        <v>0</v>
      </c>
      <c r="T686">
        <f t="shared" si="116"/>
        <v>0</v>
      </c>
      <c r="U686">
        <f t="shared" si="117"/>
        <v>0</v>
      </c>
      <c r="V686">
        <f t="shared" si="118"/>
        <v>0</v>
      </c>
      <c r="W686">
        <f t="shared" si="119"/>
        <v>0</v>
      </c>
      <c r="X686">
        <f t="shared" si="120"/>
        <v>0</v>
      </c>
      <c r="Y686">
        <f t="shared" si="121"/>
        <v>0</v>
      </c>
      <c r="Z686">
        <f t="shared" si="122"/>
        <v>0</v>
      </c>
      <c r="AA686" t="str">
        <f>INDEX('Priority activities'!$D$5:$D$86,MATCH('Database for analysis'!C686,'Priority activities'!$C$5:$C$86,0))</f>
        <v>n/a</v>
      </c>
    </row>
    <row r="687" spans="2:27" ht="16.5" thickTop="1" thickBot="1" x14ac:dyDescent="0.3">
      <c r="B687" t="s">
        <v>262</v>
      </c>
      <c r="C687" s="22" t="str">
        <f>'Costing inputs'!$C$356</f>
        <v>Meeting to consider prepacking commodities (PSC1.2)</v>
      </c>
      <c r="D687" s="22" t="str">
        <f>'Costing inputs'!$U$356</f>
        <v>Central level</v>
      </c>
      <c r="E687" s="22">
        <f>'Regional splits'!$O$14</f>
        <v>0</v>
      </c>
      <c r="F687">
        <v>0</v>
      </c>
      <c r="G687">
        <v>0</v>
      </c>
      <c r="H687">
        <v>0</v>
      </c>
      <c r="I687">
        <v>0</v>
      </c>
      <c r="J687">
        <v>0</v>
      </c>
      <c r="K687">
        <v>0</v>
      </c>
      <c r="L687">
        <v>0</v>
      </c>
      <c r="M687">
        <v>0</v>
      </c>
      <c r="N687">
        <v>0</v>
      </c>
      <c r="O687">
        <v>0</v>
      </c>
      <c r="P687" s="5">
        <f t="shared" si="112"/>
        <v>0</v>
      </c>
      <c r="Q687">
        <f t="shared" si="113"/>
        <v>0</v>
      </c>
      <c r="R687">
        <f t="shared" si="114"/>
        <v>0</v>
      </c>
      <c r="S687">
        <f t="shared" si="115"/>
        <v>0</v>
      </c>
      <c r="T687">
        <f t="shared" si="116"/>
        <v>0</v>
      </c>
      <c r="U687">
        <f t="shared" si="117"/>
        <v>0</v>
      </c>
      <c r="V687">
        <f t="shared" si="118"/>
        <v>0</v>
      </c>
      <c r="W687">
        <f t="shared" si="119"/>
        <v>0</v>
      </c>
      <c r="X687">
        <f t="shared" si="120"/>
        <v>0</v>
      </c>
      <c r="Y687">
        <f t="shared" si="121"/>
        <v>0</v>
      </c>
      <c r="Z687">
        <f t="shared" si="122"/>
        <v>0</v>
      </c>
      <c r="AA687" t="str">
        <f>INDEX('Priority activities'!$D$5:$D$86,MATCH('Database for analysis'!C687,'Priority activities'!$C$5:$C$86,0))</f>
        <v>n/a</v>
      </c>
    </row>
    <row r="688" spans="2:27" ht="16.5" thickTop="1" thickBot="1" x14ac:dyDescent="0.3">
      <c r="B688" t="s">
        <v>262</v>
      </c>
      <c r="C688" s="22" t="str">
        <f>'Costing inputs'!$C$356</f>
        <v>Meeting to consider prepacking commodities (PSC1.2)</v>
      </c>
      <c r="D688" s="22" t="str">
        <f>'Costing inputs'!$U$356</f>
        <v>Central level</v>
      </c>
      <c r="E688" s="22">
        <f>'Regional splits'!$P$14</f>
        <v>0</v>
      </c>
      <c r="F688">
        <v>0</v>
      </c>
      <c r="G688">
        <v>0</v>
      </c>
      <c r="H688">
        <v>0</v>
      </c>
      <c r="I688">
        <v>0</v>
      </c>
      <c r="J688">
        <v>0</v>
      </c>
      <c r="K688">
        <v>0</v>
      </c>
      <c r="L688">
        <v>0</v>
      </c>
      <c r="M688">
        <v>0</v>
      </c>
      <c r="N688">
        <v>0</v>
      </c>
      <c r="O688">
        <v>0</v>
      </c>
      <c r="P688" s="5">
        <f t="shared" si="112"/>
        <v>0</v>
      </c>
      <c r="Q688">
        <f t="shared" si="113"/>
        <v>0</v>
      </c>
      <c r="R688">
        <f t="shared" si="114"/>
        <v>0</v>
      </c>
      <c r="S688">
        <f t="shared" si="115"/>
        <v>0</v>
      </c>
      <c r="T688">
        <f t="shared" si="116"/>
        <v>0</v>
      </c>
      <c r="U688">
        <f t="shared" si="117"/>
        <v>0</v>
      </c>
      <c r="V688">
        <f t="shared" si="118"/>
        <v>0</v>
      </c>
      <c r="W688">
        <f t="shared" si="119"/>
        <v>0</v>
      </c>
      <c r="X688">
        <f t="shared" si="120"/>
        <v>0</v>
      </c>
      <c r="Y688">
        <f t="shared" si="121"/>
        <v>0</v>
      </c>
      <c r="Z688">
        <f t="shared" si="122"/>
        <v>0</v>
      </c>
      <c r="AA688" t="str">
        <f>INDEX('Priority activities'!$D$5:$D$86,MATCH('Database for analysis'!C688,'Priority activities'!$C$5:$C$86,0))</f>
        <v>n/a</v>
      </c>
    </row>
    <row r="689" spans="2:27" ht="16.5" thickTop="1" thickBot="1" x14ac:dyDescent="0.3">
      <c r="B689" t="s">
        <v>262</v>
      </c>
      <c r="C689" s="22" t="str">
        <f>'Costing inputs'!$C$356</f>
        <v>Meeting to consider prepacking commodities (PSC1.2)</v>
      </c>
      <c r="D689" s="22" t="str">
        <f>'Costing inputs'!$U$356</f>
        <v>Central level</v>
      </c>
      <c r="E689" s="22">
        <f>'Regional splits'!$Q$14</f>
        <v>0</v>
      </c>
      <c r="F689">
        <v>0</v>
      </c>
      <c r="G689">
        <v>0</v>
      </c>
      <c r="H689">
        <v>0</v>
      </c>
      <c r="I689">
        <v>0</v>
      </c>
      <c r="J689">
        <v>0</v>
      </c>
      <c r="K689">
        <v>0</v>
      </c>
      <c r="L689">
        <v>0</v>
      </c>
      <c r="M689">
        <v>0</v>
      </c>
      <c r="N689">
        <v>0</v>
      </c>
      <c r="O689">
        <v>0</v>
      </c>
      <c r="P689" s="5">
        <f t="shared" si="112"/>
        <v>0</v>
      </c>
      <c r="Q689">
        <f t="shared" si="113"/>
        <v>0</v>
      </c>
      <c r="R689">
        <f t="shared" si="114"/>
        <v>0</v>
      </c>
      <c r="S689">
        <f t="shared" si="115"/>
        <v>0</v>
      </c>
      <c r="T689">
        <f t="shared" si="116"/>
        <v>0</v>
      </c>
      <c r="U689">
        <f t="shared" si="117"/>
        <v>0</v>
      </c>
      <c r="V689">
        <f t="shared" si="118"/>
        <v>0</v>
      </c>
      <c r="W689">
        <f t="shared" si="119"/>
        <v>0</v>
      </c>
      <c r="X689">
        <f t="shared" si="120"/>
        <v>0</v>
      </c>
      <c r="Y689">
        <f t="shared" si="121"/>
        <v>0</v>
      </c>
      <c r="Z689">
        <f t="shared" si="122"/>
        <v>0</v>
      </c>
      <c r="AA689" t="str">
        <f>INDEX('Priority activities'!$D$5:$D$86,MATCH('Database for analysis'!C689,'Priority activities'!$C$5:$C$86,0))</f>
        <v>n/a</v>
      </c>
    </row>
    <row r="690" spans="2:27" ht="16.5" thickTop="1" thickBot="1" x14ac:dyDescent="0.3">
      <c r="B690" t="s">
        <v>262</v>
      </c>
      <c r="C690" s="22" t="str">
        <f>'Costing inputs'!$C$356</f>
        <v>Meeting to consider prepacking commodities (PSC1.2)</v>
      </c>
      <c r="D690" s="22" t="str">
        <f>'Costing inputs'!$U$356</f>
        <v>Central level</v>
      </c>
      <c r="E690" s="22" t="str">
        <f>'Regional splits'!$R$14</f>
        <v>National-level</v>
      </c>
      <c r="F690">
        <v>0</v>
      </c>
      <c r="G690">
        <v>28677.576000000001</v>
      </c>
      <c r="H690">
        <v>0</v>
      </c>
      <c r="I690">
        <v>0</v>
      </c>
      <c r="J690">
        <v>0</v>
      </c>
      <c r="K690">
        <v>0</v>
      </c>
      <c r="L690">
        <v>0</v>
      </c>
      <c r="M690">
        <v>0</v>
      </c>
      <c r="N690">
        <v>0</v>
      </c>
      <c r="O690">
        <v>0</v>
      </c>
      <c r="P690" s="5">
        <f t="shared" si="112"/>
        <v>28677.576000000001</v>
      </c>
      <c r="Q690">
        <f t="shared" si="113"/>
        <v>0</v>
      </c>
      <c r="R690">
        <f t="shared" si="114"/>
        <v>28677.576000000001</v>
      </c>
      <c r="S690">
        <f t="shared" si="115"/>
        <v>0</v>
      </c>
      <c r="T690">
        <f t="shared" si="116"/>
        <v>0</v>
      </c>
      <c r="U690">
        <f t="shared" si="117"/>
        <v>0</v>
      </c>
      <c r="V690">
        <f t="shared" si="118"/>
        <v>0</v>
      </c>
      <c r="W690">
        <f t="shared" si="119"/>
        <v>0</v>
      </c>
      <c r="X690">
        <f t="shared" si="120"/>
        <v>0</v>
      </c>
      <c r="Y690">
        <f t="shared" si="121"/>
        <v>0</v>
      </c>
      <c r="Z690">
        <f t="shared" si="122"/>
        <v>0</v>
      </c>
      <c r="AA690" t="str">
        <f>INDEX('Priority activities'!$D$5:$D$86,MATCH('Database for analysis'!C690,'Priority activities'!$C$5:$C$86,0))</f>
        <v>n/a</v>
      </c>
    </row>
    <row r="691" spans="2:27" ht="16.5" thickTop="1" thickBot="1" x14ac:dyDescent="0.3">
      <c r="B691" t="s">
        <v>262</v>
      </c>
      <c r="C691" s="22" t="str">
        <f>'Costing inputs'!$C$360</f>
        <v>Extra procurement and supply chain 2</v>
      </c>
      <c r="D691" s="22">
        <f>'Costing inputs'!$U$360</f>
        <v>0</v>
      </c>
      <c r="E691" s="22" t="str">
        <f>'Regional splits'!$C$14</f>
        <v>Central</v>
      </c>
      <c r="F691" t="e">
        <f t="array" ref="F691:O706">'Costing inputs'!S360*'Costing inputs'!AP360:AY360*TRANSPOSE('Costing inputs'!W360:AL360)</f>
        <v>#N/A</v>
      </c>
      <c r="G691" t="e">
        <v>#N/A</v>
      </c>
      <c r="H691" t="e">
        <v>#N/A</v>
      </c>
      <c r="I691" t="e">
        <v>#N/A</v>
      </c>
      <c r="J691" t="e">
        <v>#N/A</v>
      </c>
      <c r="K691" t="e">
        <v>#N/A</v>
      </c>
      <c r="L691" t="e">
        <v>#N/A</v>
      </c>
      <c r="M691" t="e">
        <v>#N/A</v>
      </c>
      <c r="N691" t="e">
        <v>#N/A</v>
      </c>
      <c r="O691" t="e">
        <v>#N/A</v>
      </c>
      <c r="P691" s="5">
        <f t="shared" si="112"/>
        <v>0</v>
      </c>
      <c r="Q691">
        <f t="shared" si="113"/>
        <v>0</v>
      </c>
      <c r="R691">
        <f t="shared" si="114"/>
        <v>0</v>
      </c>
      <c r="S691">
        <f t="shared" si="115"/>
        <v>0</v>
      </c>
      <c r="T691">
        <f t="shared" si="116"/>
        <v>0</v>
      </c>
      <c r="U691">
        <f t="shared" si="117"/>
        <v>0</v>
      </c>
      <c r="V691">
        <f t="shared" si="118"/>
        <v>0</v>
      </c>
      <c r="W691">
        <f t="shared" si="119"/>
        <v>0</v>
      </c>
      <c r="X691">
        <f t="shared" si="120"/>
        <v>0</v>
      </c>
      <c r="Y691">
        <f t="shared" si="121"/>
        <v>0</v>
      </c>
      <c r="Z691">
        <f t="shared" si="122"/>
        <v>0</v>
      </c>
      <c r="AA691" t="str">
        <f>INDEX('Priority activities'!$D$5:$D$86,MATCH('Database for analysis'!C691,'Priority activities'!$C$5:$C$86,0))</f>
        <v>n/a</v>
      </c>
    </row>
    <row r="692" spans="2:27" ht="16.5" thickTop="1" thickBot="1" x14ac:dyDescent="0.3">
      <c r="B692" t="s">
        <v>262</v>
      </c>
      <c r="C692" s="22" t="str">
        <f>'Costing inputs'!$C$360</f>
        <v>Extra procurement and supply chain 2</v>
      </c>
      <c r="D692" s="22">
        <f>'Costing inputs'!$U$360</f>
        <v>0</v>
      </c>
      <c r="E692" s="22" t="str">
        <f>'Regional splits'!$D$14</f>
        <v>Copperbelt</v>
      </c>
      <c r="F692" t="e">
        <v>#N/A</v>
      </c>
      <c r="G692" t="e">
        <v>#N/A</v>
      </c>
      <c r="H692" t="e">
        <v>#N/A</v>
      </c>
      <c r="I692" t="e">
        <v>#N/A</v>
      </c>
      <c r="J692" t="e">
        <v>#N/A</v>
      </c>
      <c r="K692" t="e">
        <v>#N/A</v>
      </c>
      <c r="L692" t="e">
        <v>#N/A</v>
      </c>
      <c r="M692" t="e">
        <v>#N/A</v>
      </c>
      <c r="N692" t="e">
        <v>#N/A</v>
      </c>
      <c r="O692" t="e">
        <v>#N/A</v>
      </c>
      <c r="P692" s="5">
        <f t="shared" si="112"/>
        <v>0</v>
      </c>
      <c r="Q692">
        <f t="shared" si="113"/>
        <v>0</v>
      </c>
      <c r="R692">
        <f t="shared" si="114"/>
        <v>0</v>
      </c>
      <c r="S692">
        <f t="shared" si="115"/>
        <v>0</v>
      </c>
      <c r="T692">
        <f t="shared" si="116"/>
        <v>0</v>
      </c>
      <c r="U692">
        <f t="shared" si="117"/>
        <v>0</v>
      </c>
      <c r="V692">
        <f t="shared" si="118"/>
        <v>0</v>
      </c>
      <c r="W692">
        <f t="shared" si="119"/>
        <v>0</v>
      </c>
      <c r="X692">
        <f t="shared" si="120"/>
        <v>0</v>
      </c>
      <c r="Y692">
        <f t="shared" si="121"/>
        <v>0</v>
      </c>
      <c r="Z692">
        <f t="shared" si="122"/>
        <v>0</v>
      </c>
      <c r="AA692" t="str">
        <f>INDEX('Priority activities'!$D$5:$D$86,MATCH('Database for analysis'!C692,'Priority activities'!$C$5:$C$86,0))</f>
        <v>n/a</v>
      </c>
    </row>
    <row r="693" spans="2:27" ht="16.5" thickTop="1" thickBot="1" x14ac:dyDescent="0.3">
      <c r="B693" t="s">
        <v>262</v>
      </c>
      <c r="C693" s="22" t="str">
        <f>'Costing inputs'!$C$360</f>
        <v>Extra procurement and supply chain 2</v>
      </c>
      <c r="D693" s="22">
        <f>'Costing inputs'!$U$360</f>
        <v>0</v>
      </c>
      <c r="E693" s="22" t="str">
        <f>'Regional splits'!$E$14</f>
        <v>Eastern</v>
      </c>
      <c r="F693" t="e">
        <v>#N/A</v>
      </c>
      <c r="G693" t="e">
        <v>#N/A</v>
      </c>
      <c r="H693" t="e">
        <v>#N/A</v>
      </c>
      <c r="I693" t="e">
        <v>#N/A</v>
      </c>
      <c r="J693" t="e">
        <v>#N/A</v>
      </c>
      <c r="K693" t="e">
        <v>#N/A</v>
      </c>
      <c r="L693" t="e">
        <v>#N/A</v>
      </c>
      <c r="M693" t="e">
        <v>#N/A</v>
      </c>
      <c r="N693" t="e">
        <v>#N/A</v>
      </c>
      <c r="O693" t="e">
        <v>#N/A</v>
      </c>
      <c r="P693" s="5">
        <f t="shared" si="112"/>
        <v>0</v>
      </c>
      <c r="Q693">
        <f t="shared" si="113"/>
        <v>0</v>
      </c>
      <c r="R693">
        <f t="shared" si="114"/>
        <v>0</v>
      </c>
      <c r="S693">
        <f t="shared" si="115"/>
        <v>0</v>
      </c>
      <c r="T693">
        <f t="shared" si="116"/>
        <v>0</v>
      </c>
      <c r="U693">
        <f t="shared" si="117"/>
        <v>0</v>
      </c>
      <c r="V693">
        <f t="shared" si="118"/>
        <v>0</v>
      </c>
      <c r="W693">
        <f t="shared" si="119"/>
        <v>0</v>
      </c>
      <c r="X693">
        <f t="shared" si="120"/>
        <v>0</v>
      </c>
      <c r="Y693">
        <f t="shared" si="121"/>
        <v>0</v>
      </c>
      <c r="Z693">
        <f t="shared" si="122"/>
        <v>0</v>
      </c>
      <c r="AA693" t="str">
        <f>INDEX('Priority activities'!$D$5:$D$86,MATCH('Database for analysis'!C693,'Priority activities'!$C$5:$C$86,0))</f>
        <v>n/a</v>
      </c>
    </row>
    <row r="694" spans="2:27" ht="16.5" thickTop="1" thickBot="1" x14ac:dyDescent="0.3">
      <c r="B694" t="s">
        <v>262</v>
      </c>
      <c r="C694" s="22" t="str">
        <f>'Costing inputs'!$C$360</f>
        <v>Extra procurement and supply chain 2</v>
      </c>
      <c r="D694" s="22">
        <f>'Costing inputs'!$U$360</f>
        <v>0</v>
      </c>
      <c r="E694" s="22" t="str">
        <f>'Regional splits'!$F$14</f>
        <v>Luapula</v>
      </c>
      <c r="F694" t="e">
        <v>#N/A</v>
      </c>
      <c r="G694" t="e">
        <v>#N/A</v>
      </c>
      <c r="H694" t="e">
        <v>#N/A</v>
      </c>
      <c r="I694" t="e">
        <v>#N/A</v>
      </c>
      <c r="J694" t="e">
        <v>#N/A</v>
      </c>
      <c r="K694" t="e">
        <v>#N/A</v>
      </c>
      <c r="L694" t="e">
        <v>#N/A</v>
      </c>
      <c r="M694" t="e">
        <v>#N/A</v>
      </c>
      <c r="N694" t="e">
        <v>#N/A</v>
      </c>
      <c r="O694" t="e">
        <v>#N/A</v>
      </c>
      <c r="P694" s="5">
        <f t="shared" si="112"/>
        <v>0</v>
      </c>
      <c r="Q694">
        <f t="shared" si="113"/>
        <v>0</v>
      </c>
      <c r="R694">
        <f t="shared" si="114"/>
        <v>0</v>
      </c>
      <c r="S694">
        <f t="shared" si="115"/>
        <v>0</v>
      </c>
      <c r="T694">
        <f t="shared" si="116"/>
        <v>0</v>
      </c>
      <c r="U694">
        <f t="shared" si="117"/>
        <v>0</v>
      </c>
      <c r="V694">
        <f t="shared" si="118"/>
        <v>0</v>
      </c>
      <c r="W694">
        <f t="shared" si="119"/>
        <v>0</v>
      </c>
      <c r="X694">
        <f t="shared" si="120"/>
        <v>0</v>
      </c>
      <c r="Y694">
        <f t="shared" si="121"/>
        <v>0</v>
      </c>
      <c r="Z694">
        <f t="shared" si="122"/>
        <v>0</v>
      </c>
      <c r="AA694" t="str">
        <f>INDEX('Priority activities'!$D$5:$D$86,MATCH('Database for analysis'!C694,'Priority activities'!$C$5:$C$86,0))</f>
        <v>n/a</v>
      </c>
    </row>
    <row r="695" spans="2:27" ht="16.5" thickTop="1" thickBot="1" x14ac:dyDescent="0.3">
      <c r="B695" t="s">
        <v>262</v>
      </c>
      <c r="C695" s="22" t="str">
        <f>'Costing inputs'!$C$360</f>
        <v>Extra procurement and supply chain 2</v>
      </c>
      <c r="D695" s="22">
        <f>'Costing inputs'!$U$360</f>
        <v>0</v>
      </c>
      <c r="E695" s="22" t="str">
        <f>'Regional splits'!$G$14</f>
        <v>Lusaka</v>
      </c>
      <c r="F695" t="e">
        <v>#N/A</v>
      </c>
      <c r="G695" t="e">
        <v>#N/A</v>
      </c>
      <c r="H695" t="e">
        <v>#N/A</v>
      </c>
      <c r="I695" t="e">
        <v>#N/A</v>
      </c>
      <c r="J695" t="e">
        <v>#N/A</v>
      </c>
      <c r="K695" t="e">
        <v>#N/A</v>
      </c>
      <c r="L695" t="e">
        <v>#N/A</v>
      </c>
      <c r="M695" t="e">
        <v>#N/A</v>
      </c>
      <c r="N695" t="e">
        <v>#N/A</v>
      </c>
      <c r="O695" t="e">
        <v>#N/A</v>
      </c>
      <c r="P695" s="5">
        <f t="shared" si="112"/>
        <v>0</v>
      </c>
      <c r="Q695">
        <f t="shared" si="113"/>
        <v>0</v>
      </c>
      <c r="R695">
        <f t="shared" si="114"/>
        <v>0</v>
      </c>
      <c r="S695">
        <f t="shared" si="115"/>
        <v>0</v>
      </c>
      <c r="T695">
        <f t="shared" si="116"/>
        <v>0</v>
      </c>
      <c r="U695">
        <f t="shared" si="117"/>
        <v>0</v>
      </c>
      <c r="V695">
        <f t="shared" si="118"/>
        <v>0</v>
      </c>
      <c r="W695">
        <f t="shared" si="119"/>
        <v>0</v>
      </c>
      <c r="X695">
        <f t="shared" si="120"/>
        <v>0</v>
      </c>
      <c r="Y695">
        <f t="shared" si="121"/>
        <v>0</v>
      </c>
      <c r="Z695">
        <f t="shared" si="122"/>
        <v>0</v>
      </c>
      <c r="AA695" t="str">
        <f>INDEX('Priority activities'!$D$5:$D$86,MATCH('Database for analysis'!C695,'Priority activities'!$C$5:$C$86,0))</f>
        <v>n/a</v>
      </c>
    </row>
    <row r="696" spans="2:27" ht="16.5" thickTop="1" thickBot="1" x14ac:dyDescent="0.3">
      <c r="B696" t="s">
        <v>262</v>
      </c>
      <c r="C696" s="22" t="str">
        <f>'Costing inputs'!$C$360</f>
        <v>Extra procurement and supply chain 2</v>
      </c>
      <c r="D696" s="22">
        <f>'Costing inputs'!$U$360</f>
        <v>0</v>
      </c>
      <c r="E696" s="22" t="str">
        <f>'Regional splits'!$H$14</f>
        <v>Muchinga</v>
      </c>
      <c r="F696" t="e">
        <v>#N/A</v>
      </c>
      <c r="G696" t="e">
        <v>#N/A</v>
      </c>
      <c r="H696" t="e">
        <v>#N/A</v>
      </c>
      <c r="I696" t="e">
        <v>#N/A</v>
      </c>
      <c r="J696" t="e">
        <v>#N/A</v>
      </c>
      <c r="K696" t="e">
        <v>#N/A</v>
      </c>
      <c r="L696" t="e">
        <v>#N/A</v>
      </c>
      <c r="M696" t="e">
        <v>#N/A</v>
      </c>
      <c r="N696" t="e">
        <v>#N/A</v>
      </c>
      <c r="O696" t="e">
        <v>#N/A</v>
      </c>
      <c r="P696" s="5">
        <f t="shared" si="112"/>
        <v>0</v>
      </c>
      <c r="Q696">
        <f t="shared" si="113"/>
        <v>0</v>
      </c>
      <c r="R696">
        <f t="shared" si="114"/>
        <v>0</v>
      </c>
      <c r="S696">
        <f t="shared" si="115"/>
        <v>0</v>
      </c>
      <c r="T696">
        <f t="shared" si="116"/>
        <v>0</v>
      </c>
      <c r="U696">
        <f t="shared" si="117"/>
        <v>0</v>
      </c>
      <c r="V696">
        <f t="shared" si="118"/>
        <v>0</v>
      </c>
      <c r="W696">
        <f t="shared" si="119"/>
        <v>0</v>
      </c>
      <c r="X696">
        <f t="shared" si="120"/>
        <v>0</v>
      </c>
      <c r="Y696">
        <f t="shared" si="121"/>
        <v>0</v>
      </c>
      <c r="Z696">
        <f t="shared" si="122"/>
        <v>0</v>
      </c>
      <c r="AA696" t="str">
        <f>INDEX('Priority activities'!$D$5:$D$86,MATCH('Database for analysis'!C696,'Priority activities'!$C$5:$C$86,0))</f>
        <v>n/a</v>
      </c>
    </row>
    <row r="697" spans="2:27" ht="16.5" thickTop="1" thickBot="1" x14ac:dyDescent="0.3">
      <c r="B697" t="s">
        <v>262</v>
      </c>
      <c r="C697" s="22" t="str">
        <f>'Costing inputs'!$C$360</f>
        <v>Extra procurement and supply chain 2</v>
      </c>
      <c r="D697" s="22">
        <f>'Costing inputs'!$U$360</f>
        <v>0</v>
      </c>
      <c r="E697" s="22" t="str">
        <f>'Regional splits'!$I$14</f>
        <v>Northern</v>
      </c>
      <c r="F697" t="e">
        <v>#N/A</v>
      </c>
      <c r="G697" t="e">
        <v>#N/A</v>
      </c>
      <c r="H697" t="e">
        <v>#N/A</v>
      </c>
      <c r="I697" t="e">
        <v>#N/A</v>
      </c>
      <c r="J697" t="e">
        <v>#N/A</v>
      </c>
      <c r="K697" t="e">
        <v>#N/A</v>
      </c>
      <c r="L697" t="e">
        <v>#N/A</v>
      </c>
      <c r="M697" t="e">
        <v>#N/A</v>
      </c>
      <c r="N697" t="e">
        <v>#N/A</v>
      </c>
      <c r="O697" t="e">
        <v>#N/A</v>
      </c>
      <c r="P697" s="5">
        <f t="shared" si="112"/>
        <v>0</v>
      </c>
      <c r="Q697">
        <f t="shared" si="113"/>
        <v>0</v>
      </c>
      <c r="R697">
        <f t="shared" si="114"/>
        <v>0</v>
      </c>
      <c r="S697">
        <f t="shared" si="115"/>
        <v>0</v>
      </c>
      <c r="T697">
        <f t="shared" si="116"/>
        <v>0</v>
      </c>
      <c r="U697">
        <f t="shared" si="117"/>
        <v>0</v>
      </c>
      <c r="V697">
        <f t="shared" si="118"/>
        <v>0</v>
      </c>
      <c r="W697">
        <f t="shared" si="119"/>
        <v>0</v>
      </c>
      <c r="X697">
        <f t="shared" si="120"/>
        <v>0</v>
      </c>
      <c r="Y697">
        <f t="shared" si="121"/>
        <v>0</v>
      </c>
      <c r="Z697">
        <f t="shared" si="122"/>
        <v>0</v>
      </c>
      <c r="AA697" t="str">
        <f>INDEX('Priority activities'!$D$5:$D$86,MATCH('Database for analysis'!C697,'Priority activities'!$C$5:$C$86,0))</f>
        <v>n/a</v>
      </c>
    </row>
    <row r="698" spans="2:27" ht="16.5" thickTop="1" thickBot="1" x14ac:dyDescent="0.3">
      <c r="B698" t="s">
        <v>262</v>
      </c>
      <c r="C698" s="22" t="str">
        <f>'Costing inputs'!$C$360</f>
        <v>Extra procurement and supply chain 2</v>
      </c>
      <c r="D698" s="22">
        <f>'Costing inputs'!$U$360</f>
        <v>0</v>
      </c>
      <c r="E698" s="22" t="str">
        <f>'Regional splits'!$J$14</f>
        <v>North Western</v>
      </c>
      <c r="F698" t="e">
        <v>#N/A</v>
      </c>
      <c r="G698" t="e">
        <v>#N/A</v>
      </c>
      <c r="H698" t="e">
        <v>#N/A</v>
      </c>
      <c r="I698" t="e">
        <v>#N/A</v>
      </c>
      <c r="J698" t="e">
        <v>#N/A</v>
      </c>
      <c r="K698" t="e">
        <v>#N/A</v>
      </c>
      <c r="L698" t="e">
        <v>#N/A</v>
      </c>
      <c r="M698" t="e">
        <v>#N/A</v>
      </c>
      <c r="N698" t="e">
        <v>#N/A</v>
      </c>
      <c r="O698" t="e">
        <v>#N/A</v>
      </c>
      <c r="P698" s="5">
        <f t="shared" si="112"/>
        <v>0</v>
      </c>
      <c r="Q698">
        <f t="shared" si="113"/>
        <v>0</v>
      </c>
      <c r="R698">
        <f t="shared" si="114"/>
        <v>0</v>
      </c>
      <c r="S698">
        <f t="shared" si="115"/>
        <v>0</v>
      </c>
      <c r="T698">
        <f t="shared" si="116"/>
        <v>0</v>
      </c>
      <c r="U698">
        <f t="shared" si="117"/>
        <v>0</v>
      </c>
      <c r="V698">
        <f t="shared" si="118"/>
        <v>0</v>
      </c>
      <c r="W698">
        <f t="shared" si="119"/>
        <v>0</v>
      </c>
      <c r="X698">
        <f t="shared" si="120"/>
        <v>0</v>
      </c>
      <c r="Y698">
        <f t="shared" si="121"/>
        <v>0</v>
      </c>
      <c r="Z698">
        <f t="shared" si="122"/>
        <v>0</v>
      </c>
      <c r="AA698" t="str">
        <f>INDEX('Priority activities'!$D$5:$D$86,MATCH('Database for analysis'!C698,'Priority activities'!$C$5:$C$86,0))</f>
        <v>n/a</v>
      </c>
    </row>
    <row r="699" spans="2:27" ht="16.5" thickTop="1" thickBot="1" x14ac:dyDescent="0.3">
      <c r="B699" t="s">
        <v>262</v>
      </c>
      <c r="C699" s="22" t="str">
        <f>'Costing inputs'!$C$360</f>
        <v>Extra procurement and supply chain 2</v>
      </c>
      <c r="D699" s="22">
        <f>'Costing inputs'!$U$360</f>
        <v>0</v>
      </c>
      <c r="E699" s="22" t="str">
        <f>'Regional splits'!$K$14</f>
        <v>Southern</v>
      </c>
      <c r="F699" t="e">
        <v>#N/A</v>
      </c>
      <c r="G699" t="e">
        <v>#N/A</v>
      </c>
      <c r="H699" t="e">
        <v>#N/A</v>
      </c>
      <c r="I699" t="e">
        <v>#N/A</v>
      </c>
      <c r="J699" t="e">
        <v>#N/A</v>
      </c>
      <c r="K699" t="e">
        <v>#N/A</v>
      </c>
      <c r="L699" t="e">
        <v>#N/A</v>
      </c>
      <c r="M699" t="e">
        <v>#N/A</v>
      </c>
      <c r="N699" t="e">
        <v>#N/A</v>
      </c>
      <c r="O699" t="e">
        <v>#N/A</v>
      </c>
      <c r="P699" s="5">
        <f t="shared" si="112"/>
        <v>0</v>
      </c>
      <c r="Q699">
        <f t="shared" si="113"/>
        <v>0</v>
      </c>
      <c r="R699">
        <f t="shared" si="114"/>
        <v>0</v>
      </c>
      <c r="S699">
        <f t="shared" si="115"/>
        <v>0</v>
      </c>
      <c r="T699">
        <f t="shared" si="116"/>
        <v>0</v>
      </c>
      <c r="U699">
        <f t="shared" si="117"/>
        <v>0</v>
      </c>
      <c r="V699">
        <f t="shared" si="118"/>
        <v>0</v>
      </c>
      <c r="W699">
        <f t="shared" si="119"/>
        <v>0</v>
      </c>
      <c r="X699">
        <f t="shared" si="120"/>
        <v>0</v>
      </c>
      <c r="Y699">
        <f t="shared" si="121"/>
        <v>0</v>
      </c>
      <c r="Z699">
        <f t="shared" si="122"/>
        <v>0</v>
      </c>
      <c r="AA699" t="str">
        <f>INDEX('Priority activities'!$D$5:$D$86,MATCH('Database for analysis'!C699,'Priority activities'!$C$5:$C$86,0))</f>
        <v>n/a</v>
      </c>
    </row>
    <row r="700" spans="2:27" ht="16.5" thickTop="1" thickBot="1" x14ac:dyDescent="0.3">
      <c r="B700" t="s">
        <v>262</v>
      </c>
      <c r="C700" s="22" t="str">
        <f>'Costing inputs'!$C$360</f>
        <v>Extra procurement and supply chain 2</v>
      </c>
      <c r="D700" s="22">
        <f>'Costing inputs'!$U$360</f>
        <v>0</v>
      </c>
      <c r="E700" s="22" t="str">
        <f>'Regional splits'!$L$14</f>
        <v>Western</v>
      </c>
      <c r="F700" t="e">
        <v>#N/A</v>
      </c>
      <c r="G700" t="e">
        <v>#N/A</v>
      </c>
      <c r="H700" t="e">
        <v>#N/A</v>
      </c>
      <c r="I700" t="e">
        <v>#N/A</v>
      </c>
      <c r="J700" t="e">
        <v>#N/A</v>
      </c>
      <c r="K700" t="e">
        <v>#N/A</v>
      </c>
      <c r="L700" t="e">
        <v>#N/A</v>
      </c>
      <c r="M700" t="e">
        <v>#N/A</v>
      </c>
      <c r="N700" t="e">
        <v>#N/A</v>
      </c>
      <c r="O700" t="e">
        <v>#N/A</v>
      </c>
      <c r="P700" s="5">
        <f t="shared" si="112"/>
        <v>0</v>
      </c>
      <c r="Q700">
        <f t="shared" si="113"/>
        <v>0</v>
      </c>
      <c r="R700">
        <f t="shared" si="114"/>
        <v>0</v>
      </c>
      <c r="S700">
        <f t="shared" si="115"/>
        <v>0</v>
      </c>
      <c r="T700">
        <f t="shared" si="116"/>
        <v>0</v>
      </c>
      <c r="U700">
        <f t="shared" si="117"/>
        <v>0</v>
      </c>
      <c r="V700">
        <f t="shared" si="118"/>
        <v>0</v>
      </c>
      <c r="W700">
        <f t="shared" si="119"/>
        <v>0</v>
      </c>
      <c r="X700">
        <f t="shared" si="120"/>
        <v>0</v>
      </c>
      <c r="Y700">
        <f t="shared" si="121"/>
        <v>0</v>
      </c>
      <c r="Z700">
        <f t="shared" si="122"/>
        <v>0</v>
      </c>
      <c r="AA700" t="str">
        <f>INDEX('Priority activities'!$D$5:$D$86,MATCH('Database for analysis'!C700,'Priority activities'!$C$5:$C$86,0))</f>
        <v>n/a</v>
      </c>
    </row>
    <row r="701" spans="2:27" ht="16.5" thickTop="1" thickBot="1" x14ac:dyDescent="0.3">
      <c r="B701" t="s">
        <v>262</v>
      </c>
      <c r="C701" s="22" t="str">
        <f>'Costing inputs'!$C$360</f>
        <v>Extra procurement and supply chain 2</v>
      </c>
      <c r="D701" s="22">
        <f>'Costing inputs'!$U$360</f>
        <v>0</v>
      </c>
      <c r="E701" s="22">
        <f>'Regional splits'!$M$14</f>
        <v>0</v>
      </c>
      <c r="F701" t="e">
        <v>#N/A</v>
      </c>
      <c r="G701" t="e">
        <v>#N/A</v>
      </c>
      <c r="H701" t="e">
        <v>#N/A</v>
      </c>
      <c r="I701" t="e">
        <v>#N/A</v>
      </c>
      <c r="J701" t="e">
        <v>#N/A</v>
      </c>
      <c r="K701" t="e">
        <v>#N/A</v>
      </c>
      <c r="L701" t="e">
        <v>#N/A</v>
      </c>
      <c r="M701" t="e">
        <v>#N/A</v>
      </c>
      <c r="N701" t="e">
        <v>#N/A</v>
      </c>
      <c r="O701" t="e">
        <v>#N/A</v>
      </c>
      <c r="P701" s="5">
        <f t="shared" si="112"/>
        <v>0</v>
      </c>
      <c r="Q701">
        <f t="shared" si="113"/>
        <v>0</v>
      </c>
      <c r="R701">
        <f t="shared" si="114"/>
        <v>0</v>
      </c>
      <c r="S701">
        <f t="shared" si="115"/>
        <v>0</v>
      </c>
      <c r="T701">
        <f t="shared" si="116"/>
        <v>0</v>
      </c>
      <c r="U701">
        <f t="shared" si="117"/>
        <v>0</v>
      </c>
      <c r="V701">
        <f t="shared" si="118"/>
        <v>0</v>
      </c>
      <c r="W701">
        <f t="shared" si="119"/>
        <v>0</v>
      </c>
      <c r="X701">
        <f t="shared" si="120"/>
        <v>0</v>
      </c>
      <c r="Y701">
        <f t="shared" si="121"/>
        <v>0</v>
      </c>
      <c r="Z701">
        <f t="shared" si="122"/>
        <v>0</v>
      </c>
      <c r="AA701" t="str">
        <f>INDEX('Priority activities'!$D$5:$D$86,MATCH('Database for analysis'!C701,'Priority activities'!$C$5:$C$86,0))</f>
        <v>n/a</v>
      </c>
    </row>
    <row r="702" spans="2:27" ht="16.5" thickTop="1" thickBot="1" x14ac:dyDescent="0.3">
      <c r="B702" t="s">
        <v>262</v>
      </c>
      <c r="C702" s="22" t="str">
        <f>'Costing inputs'!$C$360</f>
        <v>Extra procurement and supply chain 2</v>
      </c>
      <c r="D702" s="22">
        <f>'Costing inputs'!$U$360</f>
        <v>0</v>
      </c>
      <c r="E702" s="22">
        <f>'Regional splits'!$N$14</f>
        <v>0</v>
      </c>
      <c r="F702" t="e">
        <v>#N/A</v>
      </c>
      <c r="G702" t="e">
        <v>#N/A</v>
      </c>
      <c r="H702" t="e">
        <v>#N/A</v>
      </c>
      <c r="I702" t="e">
        <v>#N/A</v>
      </c>
      <c r="J702" t="e">
        <v>#N/A</v>
      </c>
      <c r="K702" t="e">
        <v>#N/A</v>
      </c>
      <c r="L702" t="e">
        <v>#N/A</v>
      </c>
      <c r="M702" t="e">
        <v>#N/A</v>
      </c>
      <c r="N702" t="e">
        <v>#N/A</v>
      </c>
      <c r="O702" t="e">
        <v>#N/A</v>
      </c>
      <c r="P702" s="5">
        <f t="shared" si="112"/>
        <v>0</v>
      </c>
      <c r="Q702">
        <f t="shared" si="113"/>
        <v>0</v>
      </c>
      <c r="R702">
        <f t="shared" si="114"/>
        <v>0</v>
      </c>
      <c r="S702">
        <f t="shared" si="115"/>
        <v>0</v>
      </c>
      <c r="T702">
        <f t="shared" si="116"/>
        <v>0</v>
      </c>
      <c r="U702">
        <f t="shared" si="117"/>
        <v>0</v>
      </c>
      <c r="V702">
        <f t="shared" si="118"/>
        <v>0</v>
      </c>
      <c r="W702">
        <f t="shared" si="119"/>
        <v>0</v>
      </c>
      <c r="X702">
        <f t="shared" si="120"/>
        <v>0</v>
      </c>
      <c r="Y702">
        <f t="shared" si="121"/>
        <v>0</v>
      </c>
      <c r="Z702">
        <f t="shared" si="122"/>
        <v>0</v>
      </c>
      <c r="AA702" t="str">
        <f>INDEX('Priority activities'!$D$5:$D$86,MATCH('Database for analysis'!C702,'Priority activities'!$C$5:$C$86,0))</f>
        <v>n/a</v>
      </c>
    </row>
    <row r="703" spans="2:27" ht="16.5" thickTop="1" thickBot="1" x14ac:dyDescent="0.3">
      <c r="B703" t="s">
        <v>262</v>
      </c>
      <c r="C703" s="22" t="str">
        <f>'Costing inputs'!$C$360</f>
        <v>Extra procurement and supply chain 2</v>
      </c>
      <c r="D703" s="22">
        <f>'Costing inputs'!$U$360</f>
        <v>0</v>
      </c>
      <c r="E703" s="22">
        <f>'Regional splits'!$O$14</f>
        <v>0</v>
      </c>
      <c r="F703" t="e">
        <v>#N/A</v>
      </c>
      <c r="G703" t="e">
        <v>#N/A</v>
      </c>
      <c r="H703" t="e">
        <v>#N/A</v>
      </c>
      <c r="I703" t="e">
        <v>#N/A</v>
      </c>
      <c r="J703" t="e">
        <v>#N/A</v>
      </c>
      <c r="K703" t="e">
        <v>#N/A</v>
      </c>
      <c r="L703" t="e">
        <v>#N/A</v>
      </c>
      <c r="M703" t="e">
        <v>#N/A</v>
      </c>
      <c r="N703" t="e">
        <v>#N/A</v>
      </c>
      <c r="O703" t="e">
        <v>#N/A</v>
      </c>
      <c r="P703" s="5">
        <f t="shared" si="112"/>
        <v>0</v>
      </c>
      <c r="Q703">
        <f t="shared" si="113"/>
        <v>0</v>
      </c>
      <c r="R703">
        <f t="shared" si="114"/>
        <v>0</v>
      </c>
      <c r="S703">
        <f t="shared" si="115"/>
        <v>0</v>
      </c>
      <c r="T703">
        <f t="shared" si="116"/>
        <v>0</v>
      </c>
      <c r="U703">
        <f t="shared" si="117"/>
        <v>0</v>
      </c>
      <c r="V703">
        <f t="shared" si="118"/>
        <v>0</v>
      </c>
      <c r="W703">
        <f t="shared" si="119"/>
        <v>0</v>
      </c>
      <c r="X703">
        <f t="shared" si="120"/>
        <v>0</v>
      </c>
      <c r="Y703">
        <f t="shared" si="121"/>
        <v>0</v>
      </c>
      <c r="Z703">
        <f t="shared" si="122"/>
        <v>0</v>
      </c>
      <c r="AA703" t="str">
        <f>INDEX('Priority activities'!$D$5:$D$86,MATCH('Database for analysis'!C703,'Priority activities'!$C$5:$C$86,0))</f>
        <v>n/a</v>
      </c>
    </row>
    <row r="704" spans="2:27" ht="16.5" thickTop="1" thickBot="1" x14ac:dyDescent="0.3">
      <c r="B704" t="s">
        <v>262</v>
      </c>
      <c r="C704" s="22" t="str">
        <f>'Costing inputs'!$C$360</f>
        <v>Extra procurement and supply chain 2</v>
      </c>
      <c r="D704" s="22">
        <f>'Costing inputs'!$U$360</f>
        <v>0</v>
      </c>
      <c r="E704" s="22">
        <f>'Regional splits'!$P$14</f>
        <v>0</v>
      </c>
      <c r="F704" t="e">
        <v>#N/A</v>
      </c>
      <c r="G704" t="e">
        <v>#N/A</v>
      </c>
      <c r="H704" t="e">
        <v>#N/A</v>
      </c>
      <c r="I704" t="e">
        <v>#N/A</v>
      </c>
      <c r="J704" t="e">
        <v>#N/A</v>
      </c>
      <c r="K704" t="e">
        <v>#N/A</v>
      </c>
      <c r="L704" t="e">
        <v>#N/A</v>
      </c>
      <c r="M704" t="e">
        <v>#N/A</v>
      </c>
      <c r="N704" t="e">
        <v>#N/A</v>
      </c>
      <c r="O704" t="e">
        <v>#N/A</v>
      </c>
      <c r="P704" s="5">
        <f t="shared" si="112"/>
        <v>0</v>
      </c>
      <c r="Q704">
        <f t="shared" si="113"/>
        <v>0</v>
      </c>
      <c r="R704">
        <f t="shared" si="114"/>
        <v>0</v>
      </c>
      <c r="S704">
        <f t="shared" si="115"/>
        <v>0</v>
      </c>
      <c r="T704">
        <f t="shared" si="116"/>
        <v>0</v>
      </c>
      <c r="U704">
        <f t="shared" si="117"/>
        <v>0</v>
      </c>
      <c r="V704">
        <f t="shared" si="118"/>
        <v>0</v>
      </c>
      <c r="W704">
        <f t="shared" si="119"/>
        <v>0</v>
      </c>
      <c r="X704">
        <f t="shared" si="120"/>
        <v>0</v>
      </c>
      <c r="Y704">
        <f t="shared" si="121"/>
        <v>0</v>
      </c>
      <c r="Z704">
        <f t="shared" si="122"/>
        <v>0</v>
      </c>
      <c r="AA704" t="str">
        <f>INDEX('Priority activities'!$D$5:$D$86,MATCH('Database for analysis'!C704,'Priority activities'!$C$5:$C$86,0))</f>
        <v>n/a</v>
      </c>
    </row>
    <row r="705" spans="2:27" ht="16.5" thickTop="1" thickBot="1" x14ac:dyDescent="0.3">
      <c r="B705" t="s">
        <v>262</v>
      </c>
      <c r="C705" s="22" t="str">
        <f>'Costing inputs'!$C$360</f>
        <v>Extra procurement and supply chain 2</v>
      </c>
      <c r="D705" s="22">
        <f>'Costing inputs'!$U$360</f>
        <v>0</v>
      </c>
      <c r="E705" s="22">
        <f>'Regional splits'!$Q$14</f>
        <v>0</v>
      </c>
      <c r="F705" t="e">
        <v>#N/A</v>
      </c>
      <c r="G705" t="e">
        <v>#N/A</v>
      </c>
      <c r="H705" t="e">
        <v>#N/A</v>
      </c>
      <c r="I705" t="e">
        <v>#N/A</v>
      </c>
      <c r="J705" t="e">
        <v>#N/A</v>
      </c>
      <c r="K705" t="e">
        <v>#N/A</v>
      </c>
      <c r="L705" t="e">
        <v>#N/A</v>
      </c>
      <c r="M705" t="e">
        <v>#N/A</v>
      </c>
      <c r="N705" t="e">
        <v>#N/A</v>
      </c>
      <c r="O705" t="e">
        <v>#N/A</v>
      </c>
      <c r="P705" s="5">
        <f t="shared" si="112"/>
        <v>0</v>
      </c>
      <c r="Q705">
        <f t="shared" si="113"/>
        <v>0</v>
      </c>
      <c r="R705">
        <f t="shared" si="114"/>
        <v>0</v>
      </c>
      <c r="S705">
        <f t="shared" si="115"/>
        <v>0</v>
      </c>
      <c r="T705">
        <f t="shared" si="116"/>
        <v>0</v>
      </c>
      <c r="U705">
        <f t="shared" si="117"/>
        <v>0</v>
      </c>
      <c r="V705">
        <f t="shared" si="118"/>
        <v>0</v>
      </c>
      <c r="W705">
        <f t="shared" si="119"/>
        <v>0</v>
      </c>
      <c r="X705">
        <f t="shared" si="120"/>
        <v>0</v>
      </c>
      <c r="Y705">
        <f t="shared" si="121"/>
        <v>0</v>
      </c>
      <c r="Z705">
        <f t="shared" si="122"/>
        <v>0</v>
      </c>
      <c r="AA705" t="str">
        <f>INDEX('Priority activities'!$D$5:$D$86,MATCH('Database for analysis'!C705,'Priority activities'!$C$5:$C$86,0))</f>
        <v>n/a</v>
      </c>
    </row>
    <row r="706" spans="2:27" ht="16.5" thickTop="1" thickBot="1" x14ac:dyDescent="0.3">
      <c r="B706" t="s">
        <v>262</v>
      </c>
      <c r="C706" s="22" t="str">
        <f>'Costing inputs'!$C$360</f>
        <v>Extra procurement and supply chain 2</v>
      </c>
      <c r="D706" s="22">
        <f>'Costing inputs'!$U$360</f>
        <v>0</v>
      </c>
      <c r="E706" s="22" t="str">
        <f>'Regional splits'!$R$14</f>
        <v>National-level</v>
      </c>
      <c r="F706" t="e">
        <v>#N/A</v>
      </c>
      <c r="G706" t="e">
        <v>#N/A</v>
      </c>
      <c r="H706" t="e">
        <v>#N/A</v>
      </c>
      <c r="I706" t="e">
        <v>#N/A</v>
      </c>
      <c r="J706" t="e">
        <v>#N/A</v>
      </c>
      <c r="K706" t="e">
        <v>#N/A</v>
      </c>
      <c r="L706" t="e">
        <v>#N/A</v>
      </c>
      <c r="M706" t="e">
        <v>#N/A</v>
      </c>
      <c r="N706" t="e">
        <v>#N/A</v>
      </c>
      <c r="O706" t="e">
        <v>#N/A</v>
      </c>
      <c r="P706" s="5">
        <f t="shared" si="112"/>
        <v>0</v>
      </c>
      <c r="Q706">
        <f t="shared" si="113"/>
        <v>0</v>
      </c>
      <c r="R706">
        <f t="shared" si="114"/>
        <v>0</v>
      </c>
      <c r="S706">
        <f t="shared" si="115"/>
        <v>0</v>
      </c>
      <c r="T706">
        <f t="shared" si="116"/>
        <v>0</v>
      </c>
      <c r="U706">
        <f t="shared" si="117"/>
        <v>0</v>
      </c>
      <c r="V706">
        <f t="shared" si="118"/>
        <v>0</v>
      </c>
      <c r="W706">
        <f t="shared" si="119"/>
        <v>0</v>
      </c>
      <c r="X706">
        <f t="shared" si="120"/>
        <v>0</v>
      </c>
      <c r="Y706">
        <f t="shared" si="121"/>
        <v>0</v>
      </c>
      <c r="Z706">
        <f t="shared" si="122"/>
        <v>0</v>
      </c>
      <c r="AA706" t="str">
        <f>INDEX('Priority activities'!$D$5:$D$86,MATCH('Database for analysis'!C706,'Priority activities'!$C$5:$C$86,0))</f>
        <v>n/a</v>
      </c>
    </row>
    <row r="707" spans="2:27" ht="16.5" thickTop="1" thickBot="1" x14ac:dyDescent="0.3">
      <c r="B707" t="s">
        <v>262</v>
      </c>
      <c r="C707" s="22" t="str">
        <f>'Costing inputs'!$C$362</f>
        <v>Extra procurement and supply chain 3</v>
      </c>
      <c r="D707" s="22">
        <f>'Costing inputs'!$U$362</f>
        <v>0</v>
      </c>
      <c r="E707" s="22" t="str">
        <f>'Regional splits'!$C$14</f>
        <v>Central</v>
      </c>
      <c r="F707" t="e">
        <f t="array" ref="F707:O722">'Costing inputs'!S362*'Costing inputs'!AP362:AY362*TRANSPOSE('Costing inputs'!W362:AL362)</f>
        <v>#N/A</v>
      </c>
      <c r="G707" t="e">
        <v>#N/A</v>
      </c>
      <c r="H707" t="e">
        <v>#N/A</v>
      </c>
      <c r="I707" t="e">
        <v>#N/A</v>
      </c>
      <c r="J707" t="e">
        <v>#N/A</v>
      </c>
      <c r="K707" t="e">
        <v>#N/A</v>
      </c>
      <c r="L707" t="e">
        <v>#N/A</v>
      </c>
      <c r="M707" t="e">
        <v>#N/A</v>
      </c>
      <c r="N707" t="e">
        <v>#N/A</v>
      </c>
      <c r="O707" t="e">
        <v>#N/A</v>
      </c>
      <c r="P707" s="5">
        <f t="shared" si="112"/>
        <v>0</v>
      </c>
      <c r="Q707">
        <f t="shared" si="113"/>
        <v>0</v>
      </c>
      <c r="R707">
        <f t="shared" si="114"/>
        <v>0</v>
      </c>
      <c r="S707">
        <f t="shared" si="115"/>
        <v>0</v>
      </c>
      <c r="T707">
        <f t="shared" si="116"/>
        <v>0</v>
      </c>
      <c r="U707">
        <f t="shared" si="117"/>
        <v>0</v>
      </c>
      <c r="V707">
        <f t="shared" si="118"/>
        <v>0</v>
      </c>
      <c r="W707">
        <f t="shared" si="119"/>
        <v>0</v>
      </c>
      <c r="X707">
        <f t="shared" si="120"/>
        <v>0</v>
      </c>
      <c r="Y707">
        <f t="shared" si="121"/>
        <v>0</v>
      </c>
      <c r="Z707">
        <f t="shared" si="122"/>
        <v>0</v>
      </c>
      <c r="AA707" t="str">
        <f>INDEX('Priority activities'!$D$5:$D$86,MATCH('Database for analysis'!C707,'Priority activities'!$C$5:$C$86,0))</f>
        <v>n/a</v>
      </c>
    </row>
    <row r="708" spans="2:27" ht="16.5" thickTop="1" thickBot="1" x14ac:dyDescent="0.3">
      <c r="B708" t="s">
        <v>262</v>
      </c>
      <c r="C708" s="22" t="str">
        <f>'Costing inputs'!$C$362</f>
        <v>Extra procurement and supply chain 3</v>
      </c>
      <c r="D708" s="22">
        <f>'Costing inputs'!$U$362</f>
        <v>0</v>
      </c>
      <c r="E708" s="22" t="str">
        <f>'Regional splits'!$D$14</f>
        <v>Copperbelt</v>
      </c>
      <c r="F708" t="e">
        <v>#N/A</v>
      </c>
      <c r="G708" t="e">
        <v>#N/A</v>
      </c>
      <c r="H708" t="e">
        <v>#N/A</v>
      </c>
      <c r="I708" t="e">
        <v>#N/A</v>
      </c>
      <c r="J708" t="e">
        <v>#N/A</v>
      </c>
      <c r="K708" t="e">
        <v>#N/A</v>
      </c>
      <c r="L708" t="e">
        <v>#N/A</v>
      </c>
      <c r="M708" t="e">
        <v>#N/A</v>
      </c>
      <c r="N708" t="e">
        <v>#N/A</v>
      </c>
      <c r="O708" t="e">
        <v>#N/A</v>
      </c>
      <c r="P708" s="5">
        <f t="shared" ref="P708:P771" si="123">SUMIF(F708:O708,"&lt;&gt;#N/A")</f>
        <v>0</v>
      </c>
      <c r="Q708">
        <f t="shared" ref="Q708:Q771" si="124">IF(ISNA(F708),0,F708)</f>
        <v>0</v>
      </c>
      <c r="R708">
        <f t="shared" ref="R708:R771" si="125">IF(ISNA(G708),0,G708)</f>
        <v>0</v>
      </c>
      <c r="S708">
        <f t="shared" ref="S708:S771" si="126">IF(ISNA(H708),0,H708)</f>
        <v>0</v>
      </c>
      <c r="T708">
        <f t="shared" ref="T708:T771" si="127">IF(ISNA(I708),0,I708)</f>
        <v>0</v>
      </c>
      <c r="U708">
        <f t="shared" ref="U708:U771" si="128">IF(ISNA(J708),0,J708)</f>
        <v>0</v>
      </c>
      <c r="V708">
        <f t="shared" ref="V708:V771" si="129">IF(ISNA(K708),0,K708)</f>
        <v>0</v>
      </c>
      <c r="W708">
        <f t="shared" ref="W708:W771" si="130">IF(ISNA(L708),0,L708)</f>
        <v>0</v>
      </c>
      <c r="X708">
        <f t="shared" ref="X708:X771" si="131">IF(ISNA(M708),0,M708)</f>
        <v>0</v>
      </c>
      <c r="Y708">
        <f t="shared" ref="Y708:Y771" si="132">IF(ISNA(N708),0,N708)</f>
        <v>0</v>
      </c>
      <c r="Z708">
        <f t="shared" ref="Z708:Z771" si="133">IF(ISNA(O708),0,O708)</f>
        <v>0</v>
      </c>
      <c r="AA708" t="str">
        <f>INDEX('Priority activities'!$D$5:$D$86,MATCH('Database for analysis'!C708,'Priority activities'!$C$5:$C$86,0))</f>
        <v>n/a</v>
      </c>
    </row>
    <row r="709" spans="2:27" ht="16.5" thickTop="1" thickBot="1" x14ac:dyDescent="0.3">
      <c r="B709" t="s">
        <v>262</v>
      </c>
      <c r="C709" s="22" t="str">
        <f>'Costing inputs'!$C$362</f>
        <v>Extra procurement and supply chain 3</v>
      </c>
      <c r="D709" s="22">
        <f>'Costing inputs'!$U$362</f>
        <v>0</v>
      </c>
      <c r="E709" s="22" t="str">
        <f>'Regional splits'!$E$14</f>
        <v>Eastern</v>
      </c>
      <c r="F709" t="e">
        <v>#N/A</v>
      </c>
      <c r="G709" t="e">
        <v>#N/A</v>
      </c>
      <c r="H709" t="e">
        <v>#N/A</v>
      </c>
      <c r="I709" t="e">
        <v>#N/A</v>
      </c>
      <c r="J709" t="e">
        <v>#N/A</v>
      </c>
      <c r="K709" t="e">
        <v>#N/A</v>
      </c>
      <c r="L709" t="e">
        <v>#N/A</v>
      </c>
      <c r="M709" t="e">
        <v>#N/A</v>
      </c>
      <c r="N709" t="e">
        <v>#N/A</v>
      </c>
      <c r="O709" t="e">
        <v>#N/A</v>
      </c>
      <c r="P709" s="5">
        <f t="shared" si="123"/>
        <v>0</v>
      </c>
      <c r="Q709">
        <f t="shared" si="124"/>
        <v>0</v>
      </c>
      <c r="R709">
        <f t="shared" si="125"/>
        <v>0</v>
      </c>
      <c r="S709">
        <f t="shared" si="126"/>
        <v>0</v>
      </c>
      <c r="T709">
        <f t="shared" si="127"/>
        <v>0</v>
      </c>
      <c r="U709">
        <f t="shared" si="128"/>
        <v>0</v>
      </c>
      <c r="V709">
        <f t="shared" si="129"/>
        <v>0</v>
      </c>
      <c r="W709">
        <f t="shared" si="130"/>
        <v>0</v>
      </c>
      <c r="X709">
        <f t="shared" si="131"/>
        <v>0</v>
      </c>
      <c r="Y709">
        <f t="shared" si="132"/>
        <v>0</v>
      </c>
      <c r="Z709">
        <f t="shared" si="133"/>
        <v>0</v>
      </c>
      <c r="AA709" t="str">
        <f>INDEX('Priority activities'!$D$5:$D$86,MATCH('Database for analysis'!C709,'Priority activities'!$C$5:$C$86,0))</f>
        <v>n/a</v>
      </c>
    </row>
    <row r="710" spans="2:27" ht="16.5" thickTop="1" thickBot="1" x14ac:dyDescent="0.3">
      <c r="B710" t="s">
        <v>262</v>
      </c>
      <c r="C710" s="22" t="str">
        <f>'Costing inputs'!$C$362</f>
        <v>Extra procurement and supply chain 3</v>
      </c>
      <c r="D710" s="22">
        <f>'Costing inputs'!$U$362</f>
        <v>0</v>
      </c>
      <c r="E710" s="22" t="str">
        <f>'Regional splits'!$F$14</f>
        <v>Luapula</v>
      </c>
      <c r="F710" t="e">
        <v>#N/A</v>
      </c>
      <c r="G710" t="e">
        <v>#N/A</v>
      </c>
      <c r="H710" t="e">
        <v>#N/A</v>
      </c>
      <c r="I710" t="e">
        <v>#N/A</v>
      </c>
      <c r="J710" t="e">
        <v>#N/A</v>
      </c>
      <c r="K710" t="e">
        <v>#N/A</v>
      </c>
      <c r="L710" t="e">
        <v>#N/A</v>
      </c>
      <c r="M710" t="e">
        <v>#N/A</v>
      </c>
      <c r="N710" t="e">
        <v>#N/A</v>
      </c>
      <c r="O710" t="e">
        <v>#N/A</v>
      </c>
      <c r="P710" s="5">
        <f t="shared" si="123"/>
        <v>0</v>
      </c>
      <c r="Q710">
        <f t="shared" si="124"/>
        <v>0</v>
      </c>
      <c r="R710">
        <f t="shared" si="125"/>
        <v>0</v>
      </c>
      <c r="S710">
        <f t="shared" si="126"/>
        <v>0</v>
      </c>
      <c r="T710">
        <f t="shared" si="127"/>
        <v>0</v>
      </c>
      <c r="U710">
        <f t="shared" si="128"/>
        <v>0</v>
      </c>
      <c r="V710">
        <f t="shared" si="129"/>
        <v>0</v>
      </c>
      <c r="W710">
        <f t="shared" si="130"/>
        <v>0</v>
      </c>
      <c r="X710">
        <f t="shared" si="131"/>
        <v>0</v>
      </c>
      <c r="Y710">
        <f t="shared" si="132"/>
        <v>0</v>
      </c>
      <c r="Z710">
        <f t="shared" si="133"/>
        <v>0</v>
      </c>
      <c r="AA710" t="str">
        <f>INDEX('Priority activities'!$D$5:$D$86,MATCH('Database for analysis'!C710,'Priority activities'!$C$5:$C$86,0))</f>
        <v>n/a</v>
      </c>
    </row>
    <row r="711" spans="2:27" ht="16.5" thickTop="1" thickBot="1" x14ac:dyDescent="0.3">
      <c r="B711" t="s">
        <v>262</v>
      </c>
      <c r="C711" s="22" t="str">
        <f>'Costing inputs'!$C$362</f>
        <v>Extra procurement and supply chain 3</v>
      </c>
      <c r="D711" s="22">
        <f>'Costing inputs'!$U$362</f>
        <v>0</v>
      </c>
      <c r="E711" s="22" t="str">
        <f>'Regional splits'!$G$14</f>
        <v>Lusaka</v>
      </c>
      <c r="F711" t="e">
        <v>#N/A</v>
      </c>
      <c r="G711" t="e">
        <v>#N/A</v>
      </c>
      <c r="H711" t="e">
        <v>#N/A</v>
      </c>
      <c r="I711" t="e">
        <v>#N/A</v>
      </c>
      <c r="J711" t="e">
        <v>#N/A</v>
      </c>
      <c r="K711" t="e">
        <v>#N/A</v>
      </c>
      <c r="L711" t="e">
        <v>#N/A</v>
      </c>
      <c r="M711" t="e">
        <v>#N/A</v>
      </c>
      <c r="N711" t="e">
        <v>#N/A</v>
      </c>
      <c r="O711" t="e">
        <v>#N/A</v>
      </c>
      <c r="P711" s="5">
        <f t="shared" si="123"/>
        <v>0</v>
      </c>
      <c r="Q711">
        <f t="shared" si="124"/>
        <v>0</v>
      </c>
      <c r="R711">
        <f t="shared" si="125"/>
        <v>0</v>
      </c>
      <c r="S711">
        <f t="shared" si="126"/>
        <v>0</v>
      </c>
      <c r="T711">
        <f t="shared" si="127"/>
        <v>0</v>
      </c>
      <c r="U711">
        <f t="shared" si="128"/>
        <v>0</v>
      </c>
      <c r="V711">
        <f t="shared" si="129"/>
        <v>0</v>
      </c>
      <c r="W711">
        <f t="shared" si="130"/>
        <v>0</v>
      </c>
      <c r="X711">
        <f t="shared" si="131"/>
        <v>0</v>
      </c>
      <c r="Y711">
        <f t="shared" si="132"/>
        <v>0</v>
      </c>
      <c r="Z711">
        <f t="shared" si="133"/>
        <v>0</v>
      </c>
      <c r="AA711" t="str">
        <f>INDEX('Priority activities'!$D$5:$D$86,MATCH('Database for analysis'!C711,'Priority activities'!$C$5:$C$86,0))</f>
        <v>n/a</v>
      </c>
    </row>
    <row r="712" spans="2:27" ht="16.5" thickTop="1" thickBot="1" x14ac:dyDescent="0.3">
      <c r="B712" t="s">
        <v>262</v>
      </c>
      <c r="C712" s="22" t="str">
        <f>'Costing inputs'!$C$362</f>
        <v>Extra procurement and supply chain 3</v>
      </c>
      <c r="D712" s="22">
        <f>'Costing inputs'!$U$362</f>
        <v>0</v>
      </c>
      <c r="E712" s="22" t="str">
        <f>'Regional splits'!$H$14</f>
        <v>Muchinga</v>
      </c>
      <c r="F712" t="e">
        <v>#N/A</v>
      </c>
      <c r="G712" t="e">
        <v>#N/A</v>
      </c>
      <c r="H712" t="e">
        <v>#N/A</v>
      </c>
      <c r="I712" t="e">
        <v>#N/A</v>
      </c>
      <c r="J712" t="e">
        <v>#N/A</v>
      </c>
      <c r="K712" t="e">
        <v>#N/A</v>
      </c>
      <c r="L712" t="e">
        <v>#N/A</v>
      </c>
      <c r="M712" t="e">
        <v>#N/A</v>
      </c>
      <c r="N712" t="e">
        <v>#N/A</v>
      </c>
      <c r="O712" t="e">
        <v>#N/A</v>
      </c>
      <c r="P712" s="5">
        <f t="shared" si="123"/>
        <v>0</v>
      </c>
      <c r="Q712">
        <f t="shared" si="124"/>
        <v>0</v>
      </c>
      <c r="R712">
        <f t="shared" si="125"/>
        <v>0</v>
      </c>
      <c r="S712">
        <f t="shared" si="126"/>
        <v>0</v>
      </c>
      <c r="T712">
        <f t="shared" si="127"/>
        <v>0</v>
      </c>
      <c r="U712">
        <f t="shared" si="128"/>
        <v>0</v>
      </c>
      <c r="V712">
        <f t="shared" si="129"/>
        <v>0</v>
      </c>
      <c r="W712">
        <f t="shared" si="130"/>
        <v>0</v>
      </c>
      <c r="X712">
        <f t="shared" si="131"/>
        <v>0</v>
      </c>
      <c r="Y712">
        <f t="shared" si="132"/>
        <v>0</v>
      </c>
      <c r="Z712">
        <f t="shared" si="133"/>
        <v>0</v>
      </c>
      <c r="AA712" t="str">
        <f>INDEX('Priority activities'!$D$5:$D$86,MATCH('Database for analysis'!C712,'Priority activities'!$C$5:$C$86,0))</f>
        <v>n/a</v>
      </c>
    </row>
    <row r="713" spans="2:27" ht="16.5" thickTop="1" thickBot="1" x14ac:dyDescent="0.3">
      <c r="B713" t="s">
        <v>262</v>
      </c>
      <c r="C713" s="22" t="str">
        <f>'Costing inputs'!$C$362</f>
        <v>Extra procurement and supply chain 3</v>
      </c>
      <c r="D713" s="22">
        <f>'Costing inputs'!$U$362</f>
        <v>0</v>
      </c>
      <c r="E713" s="22" t="str">
        <f>'Regional splits'!$I$14</f>
        <v>Northern</v>
      </c>
      <c r="F713" t="e">
        <v>#N/A</v>
      </c>
      <c r="G713" t="e">
        <v>#N/A</v>
      </c>
      <c r="H713" t="e">
        <v>#N/A</v>
      </c>
      <c r="I713" t="e">
        <v>#N/A</v>
      </c>
      <c r="J713" t="e">
        <v>#N/A</v>
      </c>
      <c r="K713" t="e">
        <v>#N/A</v>
      </c>
      <c r="L713" t="e">
        <v>#N/A</v>
      </c>
      <c r="M713" t="e">
        <v>#N/A</v>
      </c>
      <c r="N713" t="e">
        <v>#N/A</v>
      </c>
      <c r="O713" t="e">
        <v>#N/A</v>
      </c>
      <c r="P713" s="5">
        <f t="shared" si="123"/>
        <v>0</v>
      </c>
      <c r="Q713">
        <f t="shared" si="124"/>
        <v>0</v>
      </c>
      <c r="R713">
        <f t="shared" si="125"/>
        <v>0</v>
      </c>
      <c r="S713">
        <f t="shared" si="126"/>
        <v>0</v>
      </c>
      <c r="T713">
        <f t="shared" si="127"/>
        <v>0</v>
      </c>
      <c r="U713">
        <f t="shared" si="128"/>
        <v>0</v>
      </c>
      <c r="V713">
        <f t="shared" si="129"/>
        <v>0</v>
      </c>
      <c r="W713">
        <f t="shared" si="130"/>
        <v>0</v>
      </c>
      <c r="X713">
        <f t="shared" si="131"/>
        <v>0</v>
      </c>
      <c r="Y713">
        <f t="shared" si="132"/>
        <v>0</v>
      </c>
      <c r="Z713">
        <f t="shared" si="133"/>
        <v>0</v>
      </c>
      <c r="AA713" t="str">
        <f>INDEX('Priority activities'!$D$5:$D$86,MATCH('Database for analysis'!C713,'Priority activities'!$C$5:$C$86,0))</f>
        <v>n/a</v>
      </c>
    </row>
    <row r="714" spans="2:27" ht="16.5" thickTop="1" thickBot="1" x14ac:dyDescent="0.3">
      <c r="B714" t="s">
        <v>262</v>
      </c>
      <c r="C714" s="22" t="str">
        <f>'Costing inputs'!$C$362</f>
        <v>Extra procurement and supply chain 3</v>
      </c>
      <c r="D714" s="22">
        <f>'Costing inputs'!$U$362</f>
        <v>0</v>
      </c>
      <c r="E714" s="22" t="str">
        <f>'Regional splits'!$J$14</f>
        <v>North Western</v>
      </c>
      <c r="F714" t="e">
        <v>#N/A</v>
      </c>
      <c r="G714" t="e">
        <v>#N/A</v>
      </c>
      <c r="H714" t="e">
        <v>#N/A</v>
      </c>
      <c r="I714" t="e">
        <v>#N/A</v>
      </c>
      <c r="J714" t="e">
        <v>#N/A</v>
      </c>
      <c r="K714" t="e">
        <v>#N/A</v>
      </c>
      <c r="L714" t="e">
        <v>#N/A</v>
      </c>
      <c r="M714" t="e">
        <v>#N/A</v>
      </c>
      <c r="N714" t="e">
        <v>#N/A</v>
      </c>
      <c r="O714" t="e">
        <v>#N/A</v>
      </c>
      <c r="P714" s="5">
        <f t="shared" si="123"/>
        <v>0</v>
      </c>
      <c r="Q714">
        <f t="shared" si="124"/>
        <v>0</v>
      </c>
      <c r="R714">
        <f t="shared" si="125"/>
        <v>0</v>
      </c>
      <c r="S714">
        <f t="shared" si="126"/>
        <v>0</v>
      </c>
      <c r="T714">
        <f t="shared" si="127"/>
        <v>0</v>
      </c>
      <c r="U714">
        <f t="shared" si="128"/>
        <v>0</v>
      </c>
      <c r="V714">
        <f t="shared" si="129"/>
        <v>0</v>
      </c>
      <c r="W714">
        <f t="shared" si="130"/>
        <v>0</v>
      </c>
      <c r="X714">
        <f t="shared" si="131"/>
        <v>0</v>
      </c>
      <c r="Y714">
        <f t="shared" si="132"/>
        <v>0</v>
      </c>
      <c r="Z714">
        <f t="shared" si="133"/>
        <v>0</v>
      </c>
      <c r="AA714" t="str">
        <f>INDEX('Priority activities'!$D$5:$D$86,MATCH('Database for analysis'!C714,'Priority activities'!$C$5:$C$86,0))</f>
        <v>n/a</v>
      </c>
    </row>
    <row r="715" spans="2:27" ht="16.5" thickTop="1" thickBot="1" x14ac:dyDescent="0.3">
      <c r="B715" t="s">
        <v>262</v>
      </c>
      <c r="C715" s="22" t="str">
        <f>'Costing inputs'!$C$362</f>
        <v>Extra procurement and supply chain 3</v>
      </c>
      <c r="D715" s="22">
        <f>'Costing inputs'!$U$362</f>
        <v>0</v>
      </c>
      <c r="E715" s="22" t="str">
        <f>'Regional splits'!$K$14</f>
        <v>Southern</v>
      </c>
      <c r="F715" t="e">
        <v>#N/A</v>
      </c>
      <c r="G715" t="e">
        <v>#N/A</v>
      </c>
      <c r="H715" t="e">
        <v>#N/A</v>
      </c>
      <c r="I715" t="e">
        <v>#N/A</v>
      </c>
      <c r="J715" t="e">
        <v>#N/A</v>
      </c>
      <c r="K715" t="e">
        <v>#N/A</v>
      </c>
      <c r="L715" t="e">
        <v>#N/A</v>
      </c>
      <c r="M715" t="e">
        <v>#N/A</v>
      </c>
      <c r="N715" t="e">
        <v>#N/A</v>
      </c>
      <c r="O715" t="e">
        <v>#N/A</v>
      </c>
      <c r="P715" s="5">
        <f t="shared" si="123"/>
        <v>0</v>
      </c>
      <c r="Q715">
        <f t="shared" si="124"/>
        <v>0</v>
      </c>
      <c r="R715">
        <f t="shared" si="125"/>
        <v>0</v>
      </c>
      <c r="S715">
        <f t="shared" si="126"/>
        <v>0</v>
      </c>
      <c r="T715">
        <f t="shared" si="127"/>
        <v>0</v>
      </c>
      <c r="U715">
        <f t="shared" si="128"/>
        <v>0</v>
      </c>
      <c r="V715">
        <f t="shared" si="129"/>
        <v>0</v>
      </c>
      <c r="W715">
        <f t="shared" si="130"/>
        <v>0</v>
      </c>
      <c r="X715">
        <f t="shared" si="131"/>
        <v>0</v>
      </c>
      <c r="Y715">
        <f t="shared" si="132"/>
        <v>0</v>
      </c>
      <c r="Z715">
        <f t="shared" si="133"/>
        <v>0</v>
      </c>
      <c r="AA715" t="str">
        <f>INDEX('Priority activities'!$D$5:$D$86,MATCH('Database for analysis'!C715,'Priority activities'!$C$5:$C$86,0))</f>
        <v>n/a</v>
      </c>
    </row>
    <row r="716" spans="2:27" ht="16.5" thickTop="1" thickBot="1" x14ac:dyDescent="0.3">
      <c r="B716" t="s">
        <v>262</v>
      </c>
      <c r="C716" s="22" t="str">
        <f>'Costing inputs'!$C$362</f>
        <v>Extra procurement and supply chain 3</v>
      </c>
      <c r="D716" s="22">
        <f>'Costing inputs'!$U$362</f>
        <v>0</v>
      </c>
      <c r="E716" s="22" t="str">
        <f>'Regional splits'!$L$14</f>
        <v>Western</v>
      </c>
      <c r="F716" t="e">
        <v>#N/A</v>
      </c>
      <c r="G716" t="e">
        <v>#N/A</v>
      </c>
      <c r="H716" t="e">
        <v>#N/A</v>
      </c>
      <c r="I716" t="e">
        <v>#N/A</v>
      </c>
      <c r="J716" t="e">
        <v>#N/A</v>
      </c>
      <c r="K716" t="e">
        <v>#N/A</v>
      </c>
      <c r="L716" t="e">
        <v>#N/A</v>
      </c>
      <c r="M716" t="e">
        <v>#N/A</v>
      </c>
      <c r="N716" t="e">
        <v>#N/A</v>
      </c>
      <c r="O716" t="e">
        <v>#N/A</v>
      </c>
      <c r="P716" s="5">
        <f t="shared" si="123"/>
        <v>0</v>
      </c>
      <c r="Q716">
        <f t="shared" si="124"/>
        <v>0</v>
      </c>
      <c r="R716">
        <f t="shared" si="125"/>
        <v>0</v>
      </c>
      <c r="S716">
        <f t="shared" si="126"/>
        <v>0</v>
      </c>
      <c r="T716">
        <f t="shared" si="127"/>
        <v>0</v>
      </c>
      <c r="U716">
        <f t="shared" si="128"/>
        <v>0</v>
      </c>
      <c r="V716">
        <f t="shared" si="129"/>
        <v>0</v>
      </c>
      <c r="W716">
        <f t="shared" si="130"/>
        <v>0</v>
      </c>
      <c r="X716">
        <f t="shared" si="131"/>
        <v>0</v>
      </c>
      <c r="Y716">
        <f t="shared" si="132"/>
        <v>0</v>
      </c>
      <c r="Z716">
        <f t="shared" si="133"/>
        <v>0</v>
      </c>
      <c r="AA716" t="str">
        <f>INDEX('Priority activities'!$D$5:$D$86,MATCH('Database for analysis'!C716,'Priority activities'!$C$5:$C$86,0))</f>
        <v>n/a</v>
      </c>
    </row>
    <row r="717" spans="2:27" ht="16.5" thickTop="1" thickBot="1" x14ac:dyDescent="0.3">
      <c r="B717" t="s">
        <v>262</v>
      </c>
      <c r="C717" s="22" t="str">
        <f>'Costing inputs'!$C$362</f>
        <v>Extra procurement and supply chain 3</v>
      </c>
      <c r="D717" s="22">
        <f>'Costing inputs'!$U$362</f>
        <v>0</v>
      </c>
      <c r="E717" s="22">
        <f>'Regional splits'!$M$14</f>
        <v>0</v>
      </c>
      <c r="F717" t="e">
        <v>#N/A</v>
      </c>
      <c r="G717" t="e">
        <v>#N/A</v>
      </c>
      <c r="H717" t="e">
        <v>#N/A</v>
      </c>
      <c r="I717" t="e">
        <v>#N/A</v>
      </c>
      <c r="J717" t="e">
        <v>#N/A</v>
      </c>
      <c r="K717" t="e">
        <v>#N/A</v>
      </c>
      <c r="L717" t="e">
        <v>#N/A</v>
      </c>
      <c r="M717" t="e">
        <v>#N/A</v>
      </c>
      <c r="N717" t="e">
        <v>#N/A</v>
      </c>
      <c r="O717" t="e">
        <v>#N/A</v>
      </c>
      <c r="P717" s="5">
        <f t="shared" si="123"/>
        <v>0</v>
      </c>
      <c r="Q717">
        <f t="shared" si="124"/>
        <v>0</v>
      </c>
      <c r="R717">
        <f t="shared" si="125"/>
        <v>0</v>
      </c>
      <c r="S717">
        <f t="shared" si="126"/>
        <v>0</v>
      </c>
      <c r="T717">
        <f t="shared" si="127"/>
        <v>0</v>
      </c>
      <c r="U717">
        <f t="shared" si="128"/>
        <v>0</v>
      </c>
      <c r="V717">
        <f t="shared" si="129"/>
        <v>0</v>
      </c>
      <c r="W717">
        <f t="shared" si="130"/>
        <v>0</v>
      </c>
      <c r="X717">
        <f t="shared" si="131"/>
        <v>0</v>
      </c>
      <c r="Y717">
        <f t="shared" si="132"/>
        <v>0</v>
      </c>
      <c r="Z717">
        <f t="shared" si="133"/>
        <v>0</v>
      </c>
      <c r="AA717" t="str">
        <f>INDEX('Priority activities'!$D$5:$D$86,MATCH('Database for analysis'!C717,'Priority activities'!$C$5:$C$86,0))</f>
        <v>n/a</v>
      </c>
    </row>
    <row r="718" spans="2:27" ht="16.5" thickTop="1" thickBot="1" x14ac:dyDescent="0.3">
      <c r="B718" t="s">
        <v>262</v>
      </c>
      <c r="C718" s="22" t="str">
        <f>'Costing inputs'!$C$362</f>
        <v>Extra procurement and supply chain 3</v>
      </c>
      <c r="D718" s="22">
        <f>'Costing inputs'!$U$362</f>
        <v>0</v>
      </c>
      <c r="E718" s="22">
        <f>'Regional splits'!$N$14</f>
        <v>0</v>
      </c>
      <c r="F718" t="e">
        <v>#N/A</v>
      </c>
      <c r="G718" t="e">
        <v>#N/A</v>
      </c>
      <c r="H718" t="e">
        <v>#N/A</v>
      </c>
      <c r="I718" t="e">
        <v>#N/A</v>
      </c>
      <c r="J718" t="e">
        <v>#N/A</v>
      </c>
      <c r="K718" t="e">
        <v>#N/A</v>
      </c>
      <c r="L718" t="e">
        <v>#N/A</v>
      </c>
      <c r="M718" t="e">
        <v>#N/A</v>
      </c>
      <c r="N718" t="e">
        <v>#N/A</v>
      </c>
      <c r="O718" t="e">
        <v>#N/A</v>
      </c>
      <c r="P718" s="5">
        <f t="shared" si="123"/>
        <v>0</v>
      </c>
      <c r="Q718">
        <f t="shared" si="124"/>
        <v>0</v>
      </c>
      <c r="R718">
        <f t="shared" si="125"/>
        <v>0</v>
      </c>
      <c r="S718">
        <f t="shared" si="126"/>
        <v>0</v>
      </c>
      <c r="T718">
        <f t="shared" si="127"/>
        <v>0</v>
      </c>
      <c r="U718">
        <f t="shared" si="128"/>
        <v>0</v>
      </c>
      <c r="V718">
        <f t="shared" si="129"/>
        <v>0</v>
      </c>
      <c r="W718">
        <f t="shared" si="130"/>
        <v>0</v>
      </c>
      <c r="X718">
        <f t="shared" si="131"/>
        <v>0</v>
      </c>
      <c r="Y718">
        <f t="shared" si="132"/>
        <v>0</v>
      </c>
      <c r="Z718">
        <f t="shared" si="133"/>
        <v>0</v>
      </c>
      <c r="AA718" t="str">
        <f>INDEX('Priority activities'!$D$5:$D$86,MATCH('Database for analysis'!C718,'Priority activities'!$C$5:$C$86,0))</f>
        <v>n/a</v>
      </c>
    </row>
    <row r="719" spans="2:27" ht="16.5" thickTop="1" thickBot="1" x14ac:dyDescent="0.3">
      <c r="B719" t="s">
        <v>262</v>
      </c>
      <c r="C719" s="22" t="str">
        <f>'Costing inputs'!$C$362</f>
        <v>Extra procurement and supply chain 3</v>
      </c>
      <c r="D719" s="22">
        <f>'Costing inputs'!$U$362</f>
        <v>0</v>
      </c>
      <c r="E719" s="22">
        <f>'Regional splits'!$O$14</f>
        <v>0</v>
      </c>
      <c r="F719" t="e">
        <v>#N/A</v>
      </c>
      <c r="G719" t="e">
        <v>#N/A</v>
      </c>
      <c r="H719" t="e">
        <v>#N/A</v>
      </c>
      <c r="I719" t="e">
        <v>#N/A</v>
      </c>
      <c r="J719" t="e">
        <v>#N/A</v>
      </c>
      <c r="K719" t="e">
        <v>#N/A</v>
      </c>
      <c r="L719" t="e">
        <v>#N/A</v>
      </c>
      <c r="M719" t="e">
        <v>#N/A</v>
      </c>
      <c r="N719" t="e">
        <v>#N/A</v>
      </c>
      <c r="O719" t="e">
        <v>#N/A</v>
      </c>
      <c r="P719" s="5">
        <f t="shared" si="123"/>
        <v>0</v>
      </c>
      <c r="Q719">
        <f t="shared" si="124"/>
        <v>0</v>
      </c>
      <c r="R719">
        <f t="shared" si="125"/>
        <v>0</v>
      </c>
      <c r="S719">
        <f t="shared" si="126"/>
        <v>0</v>
      </c>
      <c r="T719">
        <f t="shared" si="127"/>
        <v>0</v>
      </c>
      <c r="U719">
        <f t="shared" si="128"/>
        <v>0</v>
      </c>
      <c r="V719">
        <f t="shared" si="129"/>
        <v>0</v>
      </c>
      <c r="W719">
        <f t="shared" si="130"/>
        <v>0</v>
      </c>
      <c r="X719">
        <f t="shared" si="131"/>
        <v>0</v>
      </c>
      <c r="Y719">
        <f t="shared" si="132"/>
        <v>0</v>
      </c>
      <c r="Z719">
        <f t="shared" si="133"/>
        <v>0</v>
      </c>
      <c r="AA719" t="str">
        <f>INDEX('Priority activities'!$D$5:$D$86,MATCH('Database for analysis'!C719,'Priority activities'!$C$5:$C$86,0))</f>
        <v>n/a</v>
      </c>
    </row>
    <row r="720" spans="2:27" ht="16.5" thickTop="1" thickBot="1" x14ac:dyDescent="0.3">
      <c r="B720" t="s">
        <v>262</v>
      </c>
      <c r="C720" s="22" t="str">
        <f>'Costing inputs'!$C$362</f>
        <v>Extra procurement and supply chain 3</v>
      </c>
      <c r="D720" s="22">
        <f>'Costing inputs'!$U$362</f>
        <v>0</v>
      </c>
      <c r="E720" s="22">
        <f>'Regional splits'!$P$14</f>
        <v>0</v>
      </c>
      <c r="F720" t="e">
        <v>#N/A</v>
      </c>
      <c r="G720" t="e">
        <v>#N/A</v>
      </c>
      <c r="H720" t="e">
        <v>#N/A</v>
      </c>
      <c r="I720" t="e">
        <v>#N/A</v>
      </c>
      <c r="J720" t="e">
        <v>#N/A</v>
      </c>
      <c r="K720" t="e">
        <v>#N/A</v>
      </c>
      <c r="L720" t="e">
        <v>#N/A</v>
      </c>
      <c r="M720" t="e">
        <v>#N/A</v>
      </c>
      <c r="N720" t="e">
        <v>#N/A</v>
      </c>
      <c r="O720" t="e">
        <v>#N/A</v>
      </c>
      <c r="P720" s="5">
        <f t="shared" si="123"/>
        <v>0</v>
      </c>
      <c r="Q720">
        <f t="shared" si="124"/>
        <v>0</v>
      </c>
      <c r="R720">
        <f t="shared" si="125"/>
        <v>0</v>
      </c>
      <c r="S720">
        <f t="shared" si="126"/>
        <v>0</v>
      </c>
      <c r="T720">
        <f t="shared" si="127"/>
        <v>0</v>
      </c>
      <c r="U720">
        <f t="shared" si="128"/>
        <v>0</v>
      </c>
      <c r="V720">
        <f t="shared" si="129"/>
        <v>0</v>
      </c>
      <c r="W720">
        <f t="shared" si="130"/>
        <v>0</v>
      </c>
      <c r="X720">
        <f t="shared" si="131"/>
        <v>0</v>
      </c>
      <c r="Y720">
        <f t="shared" si="132"/>
        <v>0</v>
      </c>
      <c r="Z720">
        <f t="shared" si="133"/>
        <v>0</v>
      </c>
      <c r="AA720" t="str">
        <f>INDEX('Priority activities'!$D$5:$D$86,MATCH('Database for analysis'!C720,'Priority activities'!$C$5:$C$86,0))</f>
        <v>n/a</v>
      </c>
    </row>
    <row r="721" spans="2:27" ht="16.5" thickTop="1" thickBot="1" x14ac:dyDescent="0.3">
      <c r="B721" t="s">
        <v>262</v>
      </c>
      <c r="C721" s="22" t="str">
        <f>'Costing inputs'!$C$362</f>
        <v>Extra procurement and supply chain 3</v>
      </c>
      <c r="D721" s="22">
        <f>'Costing inputs'!$U$362</f>
        <v>0</v>
      </c>
      <c r="E721" s="22">
        <f>'Regional splits'!$Q$14</f>
        <v>0</v>
      </c>
      <c r="F721" t="e">
        <v>#N/A</v>
      </c>
      <c r="G721" t="e">
        <v>#N/A</v>
      </c>
      <c r="H721" t="e">
        <v>#N/A</v>
      </c>
      <c r="I721" t="e">
        <v>#N/A</v>
      </c>
      <c r="J721" t="e">
        <v>#N/A</v>
      </c>
      <c r="K721" t="e">
        <v>#N/A</v>
      </c>
      <c r="L721" t="e">
        <v>#N/A</v>
      </c>
      <c r="M721" t="e">
        <v>#N/A</v>
      </c>
      <c r="N721" t="e">
        <v>#N/A</v>
      </c>
      <c r="O721" t="e">
        <v>#N/A</v>
      </c>
      <c r="P721" s="5">
        <f t="shared" si="123"/>
        <v>0</v>
      </c>
      <c r="Q721">
        <f t="shared" si="124"/>
        <v>0</v>
      </c>
      <c r="R721">
        <f t="shared" si="125"/>
        <v>0</v>
      </c>
      <c r="S721">
        <f t="shared" si="126"/>
        <v>0</v>
      </c>
      <c r="T721">
        <f t="shared" si="127"/>
        <v>0</v>
      </c>
      <c r="U721">
        <f t="shared" si="128"/>
        <v>0</v>
      </c>
      <c r="V721">
        <f t="shared" si="129"/>
        <v>0</v>
      </c>
      <c r="W721">
        <f t="shared" si="130"/>
        <v>0</v>
      </c>
      <c r="X721">
        <f t="shared" si="131"/>
        <v>0</v>
      </c>
      <c r="Y721">
        <f t="shared" si="132"/>
        <v>0</v>
      </c>
      <c r="Z721">
        <f t="shared" si="133"/>
        <v>0</v>
      </c>
      <c r="AA721" t="str">
        <f>INDEX('Priority activities'!$D$5:$D$86,MATCH('Database for analysis'!C721,'Priority activities'!$C$5:$C$86,0))</f>
        <v>n/a</v>
      </c>
    </row>
    <row r="722" spans="2:27" ht="16.5" thickTop="1" thickBot="1" x14ac:dyDescent="0.3">
      <c r="B722" t="s">
        <v>262</v>
      </c>
      <c r="C722" s="22" t="str">
        <f>'Costing inputs'!$C$362</f>
        <v>Extra procurement and supply chain 3</v>
      </c>
      <c r="D722" s="22">
        <f>'Costing inputs'!$U$362</f>
        <v>0</v>
      </c>
      <c r="E722" s="22" t="str">
        <f>'Regional splits'!$R$14</f>
        <v>National-level</v>
      </c>
      <c r="F722" t="e">
        <v>#N/A</v>
      </c>
      <c r="G722" t="e">
        <v>#N/A</v>
      </c>
      <c r="H722" t="e">
        <v>#N/A</v>
      </c>
      <c r="I722" t="e">
        <v>#N/A</v>
      </c>
      <c r="J722" t="e">
        <v>#N/A</v>
      </c>
      <c r="K722" t="e">
        <v>#N/A</v>
      </c>
      <c r="L722" t="e">
        <v>#N/A</v>
      </c>
      <c r="M722" t="e">
        <v>#N/A</v>
      </c>
      <c r="N722" t="e">
        <v>#N/A</v>
      </c>
      <c r="O722" t="e">
        <v>#N/A</v>
      </c>
      <c r="P722" s="5">
        <f t="shared" si="123"/>
        <v>0</v>
      </c>
      <c r="Q722">
        <f t="shared" si="124"/>
        <v>0</v>
      </c>
      <c r="R722">
        <f t="shared" si="125"/>
        <v>0</v>
      </c>
      <c r="S722">
        <f t="shared" si="126"/>
        <v>0</v>
      </c>
      <c r="T722">
        <f t="shared" si="127"/>
        <v>0</v>
      </c>
      <c r="U722">
        <f t="shared" si="128"/>
        <v>0</v>
      </c>
      <c r="V722">
        <f t="shared" si="129"/>
        <v>0</v>
      </c>
      <c r="W722">
        <f t="shared" si="130"/>
        <v>0</v>
      </c>
      <c r="X722">
        <f t="shared" si="131"/>
        <v>0</v>
      </c>
      <c r="Y722">
        <f t="shared" si="132"/>
        <v>0</v>
      </c>
      <c r="Z722">
        <f t="shared" si="133"/>
        <v>0</v>
      </c>
      <c r="AA722" t="str">
        <f>INDEX('Priority activities'!$D$5:$D$86,MATCH('Database for analysis'!C722,'Priority activities'!$C$5:$C$86,0))</f>
        <v>n/a</v>
      </c>
    </row>
    <row r="723" spans="2:27" ht="16.5" thickTop="1" thickBot="1" x14ac:dyDescent="0.3">
      <c r="B723" t="s">
        <v>263</v>
      </c>
      <c r="C723" s="22" t="str">
        <f>'Costing inputs'!$C$366</f>
        <v>Review guidelines (PE3)</v>
      </c>
      <c r="D723" s="22" t="str">
        <f>'Costing inputs'!$U$366</f>
        <v>Central level</v>
      </c>
      <c r="E723" s="22" t="str">
        <f>'Regional splits'!$C$14</f>
        <v>Central</v>
      </c>
      <c r="F723">
        <f t="array" ref="F723:O738">'Costing inputs'!S366*'Costing inputs'!AP366:AY366*TRANSPOSE('Costing inputs'!W366:AL366)</f>
        <v>0</v>
      </c>
      <c r="G723">
        <v>0</v>
      </c>
      <c r="H723">
        <v>0</v>
      </c>
      <c r="I723">
        <v>0</v>
      </c>
      <c r="J723">
        <v>0</v>
      </c>
      <c r="K723">
        <v>0</v>
      </c>
      <c r="L723">
        <v>0</v>
      </c>
      <c r="M723">
        <v>0</v>
      </c>
      <c r="N723">
        <v>0</v>
      </c>
      <c r="O723">
        <v>0</v>
      </c>
      <c r="P723" s="5">
        <f t="shared" si="123"/>
        <v>0</v>
      </c>
      <c r="Q723">
        <f t="shared" si="124"/>
        <v>0</v>
      </c>
      <c r="R723">
        <f t="shared" si="125"/>
        <v>0</v>
      </c>
      <c r="S723">
        <f t="shared" si="126"/>
        <v>0</v>
      </c>
      <c r="T723">
        <f t="shared" si="127"/>
        <v>0</v>
      </c>
      <c r="U723">
        <f t="shared" si="128"/>
        <v>0</v>
      </c>
      <c r="V723">
        <f t="shared" si="129"/>
        <v>0</v>
      </c>
      <c r="W723">
        <f t="shared" si="130"/>
        <v>0</v>
      </c>
      <c r="X723">
        <f t="shared" si="131"/>
        <v>0</v>
      </c>
      <c r="Y723">
        <f t="shared" si="132"/>
        <v>0</v>
      </c>
      <c r="Z723">
        <f t="shared" si="133"/>
        <v>0</v>
      </c>
      <c r="AA723" t="str">
        <f>INDEX('Priority activities'!$D$5:$D$86,MATCH('Database for analysis'!C723,'Priority activities'!$C$5:$C$86,0))</f>
        <v>n/a</v>
      </c>
    </row>
    <row r="724" spans="2:27" ht="16.5" thickTop="1" thickBot="1" x14ac:dyDescent="0.3">
      <c r="B724" t="s">
        <v>263</v>
      </c>
      <c r="C724" s="22" t="str">
        <f>'Costing inputs'!$C$366</f>
        <v>Review guidelines (PE3)</v>
      </c>
      <c r="D724" s="22" t="str">
        <f>'Costing inputs'!$U$366</f>
        <v>Central level</v>
      </c>
      <c r="E724" s="22" t="str">
        <f>'Regional splits'!$D$14</f>
        <v>Copperbelt</v>
      </c>
      <c r="F724">
        <v>0</v>
      </c>
      <c r="G724">
        <v>0</v>
      </c>
      <c r="H724">
        <v>0</v>
      </c>
      <c r="I724">
        <v>0</v>
      </c>
      <c r="J724">
        <v>0</v>
      </c>
      <c r="K724">
        <v>0</v>
      </c>
      <c r="L724">
        <v>0</v>
      </c>
      <c r="M724">
        <v>0</v>
      </c>
      <c r="N724">
        <v>0</v>
      </c>
      <c r="O724">
        <v>0</v>
      </c>
      <c r="P724" s="5">
        <f t="shared" si="123"/>
        <v>0</v>
      </c>
      <c r="Q724">
        <f t="shared" si="124"/>
        <v>0</v>
      </c>
      <c r="R724">
        <f t="shared" si="125"/>
        <v>0</v>
      </c>
      <c r="S724">
        <f t="shared" si="126"/>
        <v>0</v>
      </c>
      <c r="T724">
        <f t="shared" si="127"/>
        <v>0</v>
      </c>
      <c r="U724">
        <f t="shared" si="128"/>
        <v>0</v>
      </c>
      <c r="V724">
        <f t="shared" si="129"/>
        <v>0</v>
      </c>
      <c r="W724">
        <f t="shared" si="130"/>
        <v>0</v>
      </c>
      <c r="X724">
        <f t="shared" si="131"/>
        <v>0</v>
      </c>
      <c r="Y724">
        <f t="shared" si="132"/>
        <v>0</v>
      </c>
      <c r="Z724">
        <f t="shared" si="133"/>
        <v>0</v>
      </c>
      <c r="AA724" t="str">
        <f>INDEX('Priority activities'!$D$5:$D$86,MATCH('Database for analysis'!C724,'Priority activities'!$C$5:$C$86,0))</f>
        <v>n/a</v>
      </c>
    </row>
    <row r="725" spans="2:27" ht="16.5" thickTop="1" thickBot="1" x14ac:dyDescent="0.3">
      <c r="B725" t="s">
        <v>263</v>
      </c>
      <c r="C725" s="22" t="str">
        <f>'Costing inputs'!$C$366</f>
        <v>Review guidelines (PE3)</v>
      </c>
      <c r="D725" s="22" t="str">
        <f>'Costing inputs'!$U$366</f>
        <v>Central level</v>
      </c>
      <c r="E725" s="22" t="str">
        <f>'Regional splits'!$E$14</f>
        <v>Eastern</v>
      </c>
      <c r="F725">
        <v>0</v>
      </c>
      <c r="G725">
        <v>0</v>
      </c>
      <c r="H725">
        <v>0</v>
      </c>
      <c r="I725">
        <v>0</v>
      </c>
      <c r="J725">
        <v>0</v>
      </c>
      <c r="K725">
        <v>0</v>
      </c>
      <c r="L725">
        <v>0</v>
      </c>
      <c r="M725">
        <v>0</v>
      </c>
      <c r="N725">
        <v>0</v>
      </c>
      <c r="O725">
        <v>0</v>
      </c>
      <c r="P725" s="5">
        <f t="shared" si="123"/>
        <v>0</v>
      </c>
      <c r="Q725">
        <f t="shared" si="124"/>
        <v>0</v>
      </c>
      <c r="R725">
        <f t="shared" si="125"/>
        <v>0</v>
      </c>
      <c r="S725">
        <f t="shared" si="126"/>
        <v>0</v>
      </c>
      <c r="T725">
        <f t="shared" si="127"/>
        <v>0</v>
      </c>
      <c r="U725">
        <f t="shared" si="128"/>
        <v>0</v>
      </c>
      <c r="V725">
        <f t="shared" si="129"/>
        <v>0</v>
      </c>
      <c r="W725">
        <f t="shared" si="130"/>
        <v>0</v>
      </c>
      <c r="X725">
        <f t="shared" si="131"/>
        <v>0</v>
      </c>
      <c r="Y725">
        <f t="shared" si="132"/>
        <v>0</v>
      </c>
      <c r="Z725">
        <f t="shared" si="133"/>
        <v>0</v>
      </c>
      <c r="AA725" t="str">
        <f>INDEX('Priority activities'!$D$5:$D$86,MATCH('Database for analysis'!C725,'Priority activities'!$C$5:$C$86,0))</f>
        <v>n/a</v>
      </c>
    </row>
    <row r="726" spans="2:27" ht="16.5" thickTop="1" thickBot="1" x14ac:dyDescent="0.3">
      <c r="B726" t="s">
        <v>263</v>
      </c>
      <c r="C726" s="22" t="str">
        <f>'Costing inputs'!$C$366</f>
        <v>Review guidelines (PE3)</v>
      </c>
      <c r="D726" s="22" t="str">
        <f>'Costing inputs'!$U$366</f>
        <v>Central level</v>
      </c>
      <c r="E726" s="22" t="str">
        <f>'Regional splits'!$F$14</f>
        <v>Luapula</v>
      </c>
      <c r="F726">
        <v>0</v>
      </c>
      <c r="G726">
        <v>0</v>
      </c>
      <c r="H726">
        <v>0</v>
      </c>
      <c r="I726">
        <v>0</v>
      </c>
      <c r="J726">
        <v>0</v>
      </c>
      <c r="K726">
        <v>0</v>
      </c>
      <c r="L726">
        <v>0</v>
      </c>
      <c r="M726">
        <v>0</v>
      </c>
      <c r="N726">
        <v>0</v>
      </c>
      <c r="O726">
        <v>0</v>
      </c>
      <c r="P726" s="5">
        <f t="shared" si="123"/>
        <v>0</v>
      </c>
      <c r="Q726">
        <f t="shared" si="124"/>
        <v>0</v>
      </c>
      <c r="R726">
        <f t="shared" si="125"/>
        <v>0</v>
      </c>
      <c r="S726">
        <f t="shared" si="126"/>
        <v>0</v>
      </c>
      <c r="T726">
        <f t="shared" si="127"/>
        <v>0</v>
      </c>
      <c r="U726">
        <f t="shared" si="128"/>
        <v>0</v>
      </c>
      <c r="V726">
        <f t="shared" si="129"/>
        <v>0</v>
      </c>
      <c r="W726">
        <f t="shared" si="130"/>
        <v>0</v>
      </c>
      <c r="X726">
        <f t="shared" si="131"/>
        <v>0</v>
      </c>
      <c r="Y726">
        <f t="shared" si="132"/>
        <v>0</v>
      </c>
      <c r="Z726">
        <f t="shared" si="133"/>
        <v>0</v>
      </c>
      <c r="AA726" t="str">
        <f>INDEX('Priority activities'!$D$5:$D$86,MATCH('Database for analysis'!C726,'Priority activities'!$C$5:$C$86,0))</f>
        <v>n/a</v>
      </c>
    </row>
    <row r="727" spans="2:27" ht="16.5" thickTop="1" thickBot="1" x14ac:dyDescent="0.3">
      <c r="B727" t="s">
        <v>263</v>
      </c>
      <c r="C727" s="22" t="str">
        <f>'Costing inputs'!$C$366</f>
        <v>Review guidelines (PE3)</v>
      </c>
      <c r="D727" s="22" t="str">
        <f>'Costing inputs'!$U$366</f>
        <v>Central level</v>
      </c>
      <c r="E727" s="22" t="str">
        <f>'Regional splits'!$G$14</f>
        <v>Lusaka</v>
      </c>
      <c r="F727">
        <v>0</v>
      </c>
      <c r="G727">
        <v>0</v>
      </c>
      <c r="H727">
        <v>0</v>
      </c>
      <c r="I727">
        <v>0</v>
      </c>
      <c r="J727">
        <v>0</v>
      </c>
      <c r="K727">
        <v>0</v>
      </c>
      <c r="L727">
        <v>0</v>
      </c>
      <c r="M727">
        <v>0</v>
      </c>
      <c r="N727">
        <v>0</v>
      </c>
      <c r="O727">
        <v>0</v>
      </c>
      <c r="P727" s="5">
        <f t="shared" si="123"/>
        <v>0</v>
      </c>
      <c r="Q727">
        <f t="shared" si="124"/>
        <v>0</v>
      </c>
      <c r="R727">
        <f t="shared" si="125"/>
        <v>0</v>
      </c>
      <c r="S727">
        <f t="shared" si="126"/>
        <v>0</v>
      </c>
      <c r="T727">
        <f t="shared" si="127"/>
        <v>0</v>
      </c>
      <c r="U727">
        <f t="shared" si="128"/>
        <v>0</v>
      </c>
      <c r="V727">
        <f t="shared" si="129"/>
        <v>0</v>
      </c>
      <c r="W727">
        <f t="shared" si="130"/>
        <v>0</v>
      </c>
      <c r="X727">
        <f t="shared" si="131"/>
        <v>0</v>
      </c>
      <c r="Y727">
        <f t="shared" si="132"/>
        <v>0</v>
      </c>
      <c r="Z727">
        <f t="shared" si="133"/>
        <v>0</v>
      </c>
      <c r="AA727" t="str">
        <f>INDEX('Priority activities'!$D$5:$D$86,MATCH('Database for analysis'!C727,'Priority activities'!$C$5:$C$86,0))</f>
        <v>n/a</v>
      </c>
    </row>
    <row r="728" spans="2:27" ht="16.5" thickTop="1" thickBot="1" x14ac:dyDescent="0.3">
      <c r="B728" t="s">
        <v>263</v>
      </c>
      <c r="C728" s="22" t="str">
        <f>'Costing inputs'!$C$366</f>
        <v>Review guidelines (PE3)</v>
      </c>
      <c r="D728" s="22" t="str">
        <f>'Costing inputs'!$U$366</f>
        <v>Central level</v>
      </c>
      <c r="E728" s="22" t="str">
        <f>'Regional splits'!$H$14</f>
        <v>Muchinga</v>
      </c>
      <c r="F728">
        <v>0</v>
      </c>
      <c r="G728">
        <v>0</v>
      </c>
      <c r="H728">
        <v>0</v>
      </c>
      <c r="I728">
        <v>0</v>
      </c>
      <c r="J728">
        <v>0</v>
      </c>
      <c r="K728">
        <v>0</v>
      </c>
      <c r="L728">
        <v>0</v>
      </c>
      <c r="M728">
        <v>0</v>
      </c>
      <c r="N728">
        <v>0</v>
      </c>
      <c r="O728">
        <v>0</v>
      </c>
      <c r="P728" s="5">
        <f t="shared" si="123"/>
        <v>0</v>
      </c>
      <c r="Q728">
        <f t="shared" si="124"/>
        <v>0</v>
      </c>
      <c r="R728">
        <f t="shared" si="125"/>
        <v>0</v>
      </c>
      <c r="S728">
        <f t="shared" si="126"/>
        <v>0</v>
      </c>
      <c r="T728">
        <f t="shared" si="127"/>
        <v>0</v>
      </c>
      <c r="U728">
        <f t="shared" si="128"/>
        <v>0</v>
      </c>
      <c r="V728">
        <f t="shared" si="129"/>
        <v>0</v>
      </c>
      <c r="W728">
        <f t="shared" si="130"/>
        <v>0</v>
      </c>
      <c r="X728">
        <f t="shared" si="131"/>
        <v>0</v>
      </c>
      <c r="Y728">
        <f t="shared" si="132"/>
        <v>0</v>
      </c>
      <c r="Z728">
        <f t="shared" si="133"/>
        <v>0</v>
      </c>
      <c r="AA728" t="str">
        <f>INDEX('Priority activities'!$D$5:$D$86,MATCH('Database for analysis'!C728,'Priority activities'!$C$5:$C$86,0))</f>
        <v>n/a</v>
      </c>
    </row>
    <row r="729" spans="2:27" ht="16.5" thickTop="1" thickBot="1" x14ac:dyDescent="0.3">
      <c r="B729" t="s">
        <v>263</v>
      </c>
      <c r="C729" s="22" t="str">
        <f>'Costing inputs'!$C$366</f>
        <v>Review guidelines (PE3)</v>
      </c>
      <c r="D729" s="22" t="str">
        <f>'Costing inputs'!$U$366</f>
        <v>Central level</v>
      </c>
      <c r="E729" s="22" t="str">
        <f>'Regional splits'!$I$14</f>
        <v>Northern</v>
      </c>
      <c r="F729">
        <v>0</v>
      </c>
      <c r="G729">
        <v>0</v>
      </c>
      <c r="H729">
        <v>0</v>
      </c>
      <c r="I729">
        <v>0</v>
      </c>
      <c r="J729">
        <v>0</v>
      </c>
      <c r="K729">
        <v>0</v>
      </c>
      <c r="L729">
        <v>0</v>
      </c>
      <c r="M729">
        <v>0</v>
      </c>
      <c r="N729">
        <v>0</v>
      </c>
      <c r="O729">
        <v>0</v>
      </c>
      <c r="P729" s="5">
        <f t="shared" si="123"/>
        <v>0</v>
      </c>
      <c r="Q729">
        <f t="shared" si="124"/>
        <v>0</v>
      </c>
      <c r="R729">
        <f t="shared" si="125"/>
        <v>0</v>
      </c>
      <c r="S729">
        <f t="shared" si="126"/>
        <v>0</v>
      </c>
      <c r="T729">
        <f t="shared" si="127"/>
        <v>0</v>
      </c>
      <c r="U729">
        <f t="shared" si="128"/>
        <v>0</v>
      </c>
      <c r="V729">
        <f t="shared" si="129"/>
        <v>0</v>
      </c>
      <c r="W729">
        <f t="shared" si="130"/>
        <v>0</v>
      </c>
      <c r="X729">
        <f t="shared" si="131"/>
        <v>0</v>
      </c>
      <c r="Y729">
        <f t="shared" si="132"/>
        <v>0</v>
      </c>
      <c r="Z729">
        <f t="shared" si="133"/>
        <v>0</v>
      </c>
      <c r="AA729" t="str">
        <f>INDEX('Priority activities'!$D$5:$D$86,MATCH('Database for analysis'!C729,'Priority activities'!$C$5:$C$86,0))</f>
        <v>n/a</v>
      </c>
    </row>
    <row r="730" spans="2:27" ht="16.5" thickTop="1" thickBot="1" x14ac:dyDescent="0.3">
      <c r="B730" t="s">
        <v>263</v>
      </c>
      <c r="C730" s="22" t="str">
        <f>'Costing inputs'!$C$366</f>
        <v>Review guidelines (PE3)</v>
      </c>
      <c r="D730" s="22" t="str">
        <f>'Costing inputs'!$U$366</f>
        <v>Central level</v>
      </c>
      <c r="E730" s="22" t="str">
        <f>'Regional splits'!$J$14</f>
        <v>North Western</v>
      </c>
      <c r="F730">
        <v>0</v>
      </c>
      <c r="G730">
        <v>0</v>
      </c>
      <c r="H730">
        <v>0</v>
      </c>
      <c r="I730">
        <v>0</v>
      </c>
      <c r="J730">
        <v>0</v>
      </c>
      <c r="K730">
        <v>0</v>
      </c>
      <c r="L730">
        <v>0</v>
      </c>
      <c r="M730">
        <v>0</v>
      </c>
      <c r="N730">
        <v>0</v>
      </c>
      <c r="O730">
        <v>0</v>
      </c>
      <c r="P730" s="5">
        <f t="shared" si="123"/>
        <v>0</v>
      </c>
      <c r="Q730">
        <f t="shared" si="124"/>
        <v>0</v>
      </c>
      <c r="R730">
        <f t="shared" si="125"/>
        <v>0</v>
      </c>
      <c r="S730">
        <f t="shared" si="126"/>
        <v>0</v>
      </c>
      <c r="T730">
        <f t="shared" si="127"/>
        <v>0</v>
      </c>
      <c r="U730">
        <f t="shared" si="128"/>
        <v>0</v>
      </c>
      <c r="V730">
        <f t="shared" si="129"/>
        <v>0</v>
      </c>
      <c r="W730">
        <f t="shared" si="130"/>
        <v>0</v>
      </c>
      <c r="X730">
        <f t="shared" si="131"/>
        <v>0</v>
      </c>
      <c r="Y730">
        <f t="shared" si="132"/>
        <v>0</v>
      </c>
      <c r="Z730">
        <f t="shared" si="133"/>
        <v>0</v>
      </c>
      <c r="AA730" t="str">
        <f>INDEX('Priority activities'!$D$5:$D$86,MATCH('Database for analysis'!C730,'Priority activities'!$C$5:$C$86,0))</f>
        <v>n/a</v>
      </c>
    </row>
    <row r="731" spans="2:27" ht="16.5" thickTop="1" thickBot="1" x14ac:dyDescent="0.3">
      <c r="B731" t="s">
        <v>263</v>
      </c>
      <c r="C731" s="22" t="str">
        <f>'Costing inputs'!$C$366</f>
        <v>Review guidelines (PE3)</v>
      </c>
      <c r="D731" s="22" t="str">
        <f>'Costing inputs'!$U$366</f>
        <v>Central level</v>
      </c>
      <c r="E731" s="22" t="str">
        <f>'Regional splits'!$K$14</f>
        <v>Southern</v>
      </c>
      <c r="F731">
        <v>0</v>
      </c>
      <c r="G731">
        <v>0</v>
      </c>
      <c r="H731">
        <v>0</v>
      </c>
      <c r="I731">
        <v>0</v>
      </c>
      <c r="J731">
        <v>0</v>
      </c>
      <c r="K731">
        <v>0</v>
      </c>
      <c r="L731">
        <v>0</v>
      </c>
      <c r="M731">
        <v>0</v>
      </c>
      <c r="N731">
        <v>0</v>
      </c>
      <c r="O731">
        <v>0</v>
      </c>
      <c r="P731" s="5">
        <f t="shared" si="123"/>
        <v>0</v>
      </c>
      <c r="Q731">
        <f t="shared" si="124"/>
        <v>0</v>
      </c>
      <c r="R731">
        <f t="shared" si="125"/>
        <v>0</v>
      </c>
      <c r="S731">
        <f t="shared" si="126"/>
        <v>0</v>
      </c>
      <c r="T731">
        <f t="shared" si="127"/>
        <v>0</v>
      </c>
      <c r="U731">
        <f t="shared" si="128"/>
        <v>0</v>
      </c>
      <c r="V731">
        <f t="shared" si="129"/>
        <v>0</v>
      </c>
      <c r="W731">
        <f t="shared" si="130"/>
        <v>0</v>
      </c>
      <c r="X731">
        <f t="shared" si="131"/>
        <v>0</v>
      </c>
      <c r="Y731">
        <f t="shared" si="132"/>
        <v>0</v>
      </c>
      <c r="Z731">
        <f t="shared" si="133"/>
        <v>0</v>
      </c>
      <c r="AA731" t="str">
        <f>INDEX('Priority activities'!$D$5:$D$86,MATCH('Database for analysis'!C731,'Priority activities'!$C$5:$C$86,0))</f>
        <v>n/a</v>
      </c>
    </row>
    <row r="732" spans="2:27" ht="16.5" thickTop="1" thickBot="1" x14ac:dyDescent="0.3">
      <c r="B732" t="s">
        <v>263</v>
      </c>
      <c r="C732" s="22" t="str">
        <f>'Costing inputs'!$C$366</f>
        <v>Review guidelines (PE3)</v>
      </c>
      <c r="D732" s="22" t="str">
        <f>'Costing inputs'!$U$366</f>
        <v>Central level</v>
      </c>
      <c r="E732" s="22" t="str">
        <f>'Regional splits'!$L$14</f>
        <v>Western</v>
      </c>
      <c r="F732">
        <v>0</v>
      </c>
      <c r="G732">
        <v>0</v>
      </c>
      <c r="H732">
        <v>0</v>
      </c>
      <c r="I732">
        <v>0</v>
      </c>
      <c r="J732">
        <v>0</v>
      </c>
      <c r="K732">
        <v>0</v>
      </c>
      <c r="L732">
        <v>0</v>
      </c>
      <c r="M732">
        <v>0</v>
      </c>
      <c r="N732">
        <v>0</v>
      </c>
      <c r="O732">
        <v>0</v>
      </c>
      <c r="P732" s="5">
        <f t="shared" si="123"/>
        <v>0</v>
      </c>
      <c r="Q732">
        <f t="shared" si="124"/>
        <v>0</v>
      </c>
      <c r="R732">
        <f t="shared" si="125"/>
        <v>0</v>
      </c>
      <c r="S732">
        <f t="shared" si="126"/>
        <v>0</v>
      </c>
      <c r="T732">
        <f t="shared" si="127"/>
        <v>0</v>
      </c>
      <c r="U732">
        <f t="shared" si="128"/>
        <v>0</v>
      </c>
      <c r="V732">
        <f t="shared" si="129"/>
        <v>0</v>
      </c>
      <c r="W732">
        <f t="shared" si="130"/>
        <v>0</v>
      </c>
      <c r="X732">
        <f t="shared" si="131"/>
        <v>0</v>
      </c>
      <c r="Y732">
        <f t="shared" si="132"/>
        <v>0</v>
      </c>
      <c r="Z732">
        <f t="shared" si="133"/>
        <v>0</v>
      </c>
      <c r="AA732" t="str">
        <f>INDEX('Priority activities'!$D$5:$D$86,MATCH('Database for analysis'!C732,'Priority activities'!$C$5:$C$86,0))</f>
        <v>n/a</v>
      </c>
    </row>
    <row r="733" spans="2:27" ht="16.5" thickTop="1" thickBot="1" x14ac:dyDescent="0.3">
      <c r="B733" t="s">
        <v>263</v>
      </c>
      <c r="C733" s="22" t="str">
        <f>'Costing inputs'!$C$366</f>
        <v>Review guidelines (PE3)</v>
      </c>
      <c r="D733" s="22" t="str">
        <f>'Costing inputs'!$U$366</f>
        <v>Central level</v>
      </c>
      <c r="E733" s="22">
        <f>'Regional splits'!$M$14</f>
        <v>0</v>
      </c>
      <c r="F733">
        <v>0</v>
      </c>
      <c r="G733">
        <v>0</v>
      </c>
      <c r="H733">
        <v>0</v>
      </c>
      <c r="I733">
        <v>0</v>
      </c>
      <c r="J733">
        <v>0</v>
      </c>
      <c r="K733">
        <v>0</v>
      </c>
      <c r="L733">
        <v>0</v>
      </c>
      <c r="M733">
        <v>0</v>
      </c>
      <c r="N733">
        <v>0</v>
      </c>
      <c r="O733">
        <v>0</v>
      </c>
      <c r="P733" s="5">
        <f t="shared" si="123"/>
        <v>0</v>
      </c>
      <c r="Q733">
        <f t="shared" si="124"/>
        <v>0</v>
      </c>
      <c r="R733">
        <f t="shared" si="125"/>
        <v>0</v>
      </c>
      <c r="S733">
        <f t="shared" si="126"/>
        <v>0</v>
      </c>
      <c r="T733">
        <f t="shared" si="127"/>
        <v>0</v>
      </c>
      <c r="U733">
        <f t="shared" si="128"/>
        <v>0</v>
      </c>
      <c r="V733">
        <f t="shared" si="129"/>
        <v>0</v>
      </c>
      <c r="W733">
        <f t="shared" si="130"/>
        <v>0</v>
      </c>
      <c r="X733">
        <f t="shared" si="131"/>
        <v>0</v>
      </c>
      <c r="Y733">
        <f t="shared" si="132"/>
        <v>0</v>
      </c>
      <c r="Z733">
        <f t="shared" si="133"/>
        <v>0</v>
      </c>
      <c r="AA733" t="str">
        <f>INDEX('Priority activities'!$D$5:$D$86,MATCH('Database for analysis'!C733,'Priority activities'!$C$5:$C$86,0))</f>
        <v>n/a</v>
      </c>
    </row>
    <row r="734" spans="2:27" ht="16.5" thickTop="1" thickBot="1" x14ac:dyDescent="0.3">
      <c r="B734" t="s">
        <v>263</v>
      </c>
      <c r="C734" s="22" t="str">
        <f>'Costing inputs'!$C$366</f>
        <v>Review guidelines (PE3)</v>
      </c>
      <c r="D734" s="22" t="str">
        <f>'Costing inputs'!$U$366</f>
        <v>Central level</v>
      </c>
      <c r="E734" s="22">
        <f>'Regional splits'!$N$14</f>
        <v>0</v>
      </c>
      <c r="F734">
        <v>0</v>
      </c>
      <c r="G734">
        <v>0</v>
      </c>
      <c r="H734">
        <v>0</v>
      </c>
      <c r="I734">
        <v>0</v>
      </c>
      <c r="J734">
        <v>0</v>
      </c>
      <c r="K734">
        <v>0</v>
      </c>
      <c r="L734">
        <v>0</v>
      </c>
      <c r="M734">
        <v>0</v>
      </c>
      <c r="N734">
        <v>0</v>
      </c>
      <c r="O734">
        <v>0</v>
      </c>
      <c r="P734" s="5">
        <f t="shared" si="123"/>
        <v>0</v>
      </c>
      <c r="Q734">
        <f t="shared" si="124"/>
        <v>0</v>
      </c>
      <c r="R734">
        <f t="shared" si="125"/>
        <v>0</v>
      </c>
      <c r="S734">
        <f t="shared" si="126"/>
        <v>0</v>
      </c>
      <c r="T734">
        <f t="shared" si="127"/>
        <v>0</v>
      </c>
      <c r="U734">
        <f t="shared" si="128"/>
        <v>0</v>
      </c>
      <c r="V734">
        <f t="shared" si="129"/>
        <v>0</v>
      </c>
      <c r="W734">
        <f t="shared" si="130"/>
        <v>0</v>
      </c>
      <c r="X734">
        <f t="shared" si="131"/>
        <v>0</v>
      </c>
      <c r="Y734">
        <f t="shared" si="132"/>
        <v>0</v>
      </c>
      <c r="Z734">
        <f t="shared" si="133"/>
        <v>0</v>
      </c>
      <c r="AA734" t="str">
        <f>INDEX('Priority activities'!$D$5:$D$86,MATCH('Database for analysis'!C734,'Priority activities'!$C$5:$C$86,0))</f>
        <v>n/a</v>
      </c>
    </row>
    <row r="735" spans="2:27" ht="16.5" thickTop="1" thickBot="1" x14ac:dyDescent="0.3">
      <c r="B735" t="s">
        <v>263</v>
      </c>
      <c r="C735" s="22" t="str">
        <f>'Costing inputs'!$C$366</f>
        <v>Review guidelines (PE3)</v>
      </c>
      <c r="D735" s="22" t="str">
        <f>'Costing inputs'!$U$366</f>
        <v>Central level</v>
      </c>
      <c r="E735" s="22">
        <f>'Regional splits'!$O$14</f>
        <v>0</v>
      </c>
      <c r="F735">
        <v>0</v>
      </c>
      <c r="G735">
        <v>0</v>
      </c>
      <c r="H735">
        <v>0</v>
      </c>
      <c r="I735">
        <v>0</v>
      </c>
      <c r="J735">
        <v>0</v>
      </c>
      <c r="K735">
        <v>0</v>
      </c>
      <c r="L735">
        <v>0</v>
      </c>
      <c r="M735">
        <v>0</v>
      </c>
      <c r="N735">
        <v>0</v>
      </c>
      <c r="O735">
        <v>0</v>
      </c>
      <c r="P735" s="5">
        <f t="shared" si="123"/>
        <v>0</v>
      </c>
      <c r="Q735">
        <f t="shared" si="124"/>
        <v>0</v>
      </c>
      <c r="R735">
        <f t="shared" si="125"/>
        <v>0</v>
      </c>
      <c r="S735">
        <f t="shared" si="126"/>
        <v>0</v>
      </c>
      <c r="T735">
        <f t="shared" si="127"/>
        <v>0</v>
      </c>
      <c r="U735">
        <f t="shared" si="128"/>
        <v>0</v>
      </c>
      <c r="V735">
        <f t="shared" si="129"/>
        <v>0</v>
      </c>
      <c r="W735">
        <f t="shared" si="130"/>
        <v>0</v>
      </c>
      <c r="X735">
        <f t="shared" si="131"/>
        <v>0</v>
      </c>
      <c r="Y735">
        <f t="shared" si="132"/>
        <v>0</v>
      </c>
      <c r="Z735">
        <f t="shared" si="133"/>
        <v>0</v>
      </c>
      <c r="AA735" t="str">
        <f>INDEX('Priority activities'!$D$5:$D$86,MATCH('Database for analysis'!C735,'Priority activities'!$C$5:$C$86,0))</f>
        <v>n/a</v>
      </c>
    </row>
    <row r="736" spans="2:27" ht="16.5" thickTop="1" thickBot="1" x14ac:dyDescent="0.3">
      <c r="B736" t="s">
        <v>263</v>
      </c>
      <c r="C736" s="22" t="str">
        <f>'Costing inputs'!$C$366</f>
        <v>Review guidelines (PE3)</v>
      </c>
      <c r="D736" s="22" t="str">
        <f>'Costing inputs'!$U$366</f>
        <v>Central level</v>
      </c>
      <c r="E736" s="22">
        <f>'Regional splits'!$P$14</f>
        <v>0</v>
      </c>
      <c r="F736">
        <v>0</v>
      </c>
      <c r="G736">
        <v>0</v>
      </c>
      <c r="H736">
        <v>0</v>
      </c>
      <c r="I736">
        <v>0</v>
      </c>
      <c r="J736">
        <v>0</v>
      </c>
      <c r="K736">
        <v>0</v>
      </c>
      <c r="L736">
        <v>0</v>
      </c>
      <c r="M736">
        <v>0</v>
      </c>
      <c r="N736">
        <v>0</v>
      </c>
      <c r="O736">
        <v>0</v>
      </c>
      <c r="P736" s="5">
        <f t="shared" si="123"/>
        <v>0</v>
      </c>
      <c r="Q736">
        <f t="shared" si="124"/>
        <v>0</v>
      </c>
      <c r="R736">
        <f t="shared" si="125"/>
        <v>0</v>
      </c>
      <c r="S736">
        <f t="shared" si="126"/>
        <v>0</v>
      </c>
      <c r="T736">
        <f t="shared" si="127"/>
        <v>0</v>
      </c>
      <c r="U736">
        <f t="shared" si="128"/>
        <v>0</v>
      </c>
      <c r="V736">
        <f t="shared" si="129"/>
        <v>0</v>
      </c>
      <c r="W736">
        <f t="shared" si="130"/>
        <v>0</v>
      </c>
      <c r="X736">
        <f t="shared" si="131"/>
        <v>0</v>
      </c>
      <c r="Y736">
        <f t="shared" si="132"/>
        <v>0</v>
      </c>
      <c r="Z736">
        <f t="shared" si="133"/>
        <v>0</v>
      </c>
      <c r="AA736" t="str">
        <f>INDEX('Priority activities'!$D$5:$D$86,MATCH('Database for analysis'!C736,'Priority activities'!$C$5:$C$86,0))</f>
        <v>n/a</v>
      </c>
    </row>
    <row r="737" spans="2:27" ht="16.5" thickTop="1" thickBot="1" x14ac:dyDescent="0.3">
      <c r="B737" t="s">
        <v>263</v>
      </c>
      <c r="C737" s="22" t="str">
        <f>'Costing inputs'!$C$366</f>
        <v>Review guidelines (PE3)</v>
      </c>
      <c r="D737" s="22" t="str">
        <f>'Costing inputs'!$U$366</f>
        <v>Central level</v>
      </c>
      <c r="E737" s="22">
        <f>'Regional splits'!$Q$14</f>
        <v>0</v>
      </c>
      <c r="F737">
        <v>0</v>
      </c>
      <c r="G737">
        <v>0</v>
      </c>
      <c r="H737">
        <v>0</v>
      </c>
      <c r="I737">
        <v>0</v>
      </c>
      <c r="J737">
        <v>0</v>
      </c>
      <c r="K737">
        <v>0</v>
      </c>
      <c r="L737">
        <v>0</v>
      </c>
      <c r="M737">
        <v>0</v>
      </c>
      <c r="N737">
        <v>0</v>
      </c>
      <c r="O737">
        <v>0</v>
      </c>
      <c r="P737" s="5">
        <f t="shared" si="123"/>
        <v>0</v>
      </c>
      <c r="Q737">
        <f t="shared" si="124"/>
        <v>0</v>
      </c>
      <c r="R737">
        <f t="shared" si="125"/>
        <v>0</v>
      </c>
      <c r="S737">
        <f t="shared" si="126"/>
        <v>0</v>
      </c>
      <c r="T737">
        <f t="shared" si="127"/>
        <v>0</v>
      </c>
      <c r="U737">
        <f t="shared" si="128"/>
        <v>0</v>
      </c>
      <c r="V737">
        <f t="shared" si="129"/>
        <v>0</v>
      </c>
      <c r="W737">
        <f t="shared" si="130"/>
        <v>0</v>
      </c>
      <c r="X737">
        <f t="shared" si="131"/>
        <v>0</v>
      </c>
      <c r="Y737">
        <f t="shared" si="132"/>
        <v>0</v>
      </c>
      <c r="Z737">
        <f t="shared" si="133"/>
        <v>0</v>
      </c>
      <c r="AA737" t="str">
        <f>INDEX('Priority activities'!$D$5:$D$86,MATCH('Database for analysis'!C737,'Priority activities'!$C$5:$C$86,0))</f>
        <v>n/a</v>
      </c>
    </row>
    <row r="738" spans="2:27" ht="16.5" thickTop="1" thickBot="1" x14ac:dyDescent="0.3">
      <c r="B738" t="s">
        <v>263</v>
      </c>
      <c r="C738" s="22" t="str">
        <f>'Costing inputs'!$C$366</f>
        <v>Review guidelines (PE3)</v>
      </c>
      <c r="D738" s="22" t="str">
        <f>'Costing inputs'!$U$366</f>
        <v>Central level</v>
      </c>
      <c r="E738" s="22" t="str">
        <f>'Regional splits'!$R$14</f>
        <v>National-level</v>
      </c>
      <c r="F738">
        <v>118201.064</v>
      </c>
      <c r="G738">
        <v>0</v>
      </c>
      <c r="H738">
        <v>0</v>
      </c>
      <c r="I738">
        <v>0</v>
      </c>
      <c r="J738">
        <v>0</v>
      </c>
      <c r="K738">
        <v>118201.064</v>
      </c>
      <c r="L738">
        <v>0</v>
      </c>
      <c r="M738">
        <v>0</v>
      </c>
      <c r="N738">
        <v>0</v>
      </c>
      <c r="O738">
        <v>0</v>
      </c>
      <c r="P738" s="5">
        <f t="shared" si="123"/>
        <v>236402.128</v>
      </c>
      <c r="Q738">
        <f t="shared" si="124"/>
        <v>118201.064</v>
      </c>
      <c r="R738">
        <f t="shared" si="125"/>
        <v>0</v>
      </c>
      <c r="S738">
        <f t="shared" si="126"/>
        <v>0</v>
      </c>
      <c r="T738">
        <f t="shared" si="127"/>
        <v>0</v>
      </c>
      <c r="U738">
        <f t="shared" si="128"/>
        <v>0</v>
      </c>
      <c r="V738">
        <f t="shared" si="129"/>
        <v>118201.064</v>
      </c>
      <c r="W738">
        <f t="shared" si="130"/>
        <v>0</v>
      </c>
      <c r="X738">
        <f t="shared" si="131"/>
        <v>0</v>
      </c>
      <c r="Y738">
        <f t="shared" si="132"/>
        <v>0</v>
      </c>
      <c r="Z738">
        <f t="shared" si="133"/>
        <v>0</v>
      </c>
      <c r="AA738" t="str">
        <f>INDEX('Priority activities'!$D$5:$D$86,MATCH('Database for analysis'!C738,'Priority activities'!$C$5:$C$86,0))</f>
        <v>n/a</v>
      </c>
    </row>
    <row r="739" spans="2:27" ht="16.5" thickTop="1" thickBot="1" x14ac:dyDescent="0.3">
      <c r="B739" t="s">
        <v>263</v>
      </c>
      <c r="C739" s="22" t="str">
        <f>'Costing inputs'!$C$370</f>
        <v>Policy documents (PE1.1)</v>
      </c>
      <c r="D739" s="22" t="str">
        <f>'Costing inputs'!$U$370</f>
        <v>Central level</v>
      </c>
      <c r="E739" s="22" t="str">
        <f>'Regional splits'!$C$14</f>
        <v>Central</v>
      </c>
      <c r="F739">
        <f t="array" ref="F739:O754">'Costing inputs'!S370*'Costing inputs'!AP370:AY370*TRANSPOSE('Costing inputs'!W370:AL370)</f>
        <v>0</v>
      </c>
      <c r="G739">
        <v>0</v>
      </c>
      <c r="H739">
        <v>0</v>
      </c>
      <c r="I739">
        <v>0</v>
      </c>
      <c r="J739">
        <v>0</v>
      </c>
      <c r="K739">
        <v>0</v>
      </c>
      <c r="L739">
        <v>0</v>
      </c>
      <c r="M739">
        <v>0</v>
      </c>
      <c r="N739">
        <v>0</v>
      </c>
      <c r="O739">
        <v>0</v>
      </c>
      <c r="P739" s="5">
        <f t="shared" si="123"/>
        <v>0</v>
      </c>
      <c r="Q739">
        <f t="shared" si="124"/>
        <v>0</v>
      </c>
      <c r="R739">
        <f t="shared" si="125"/>
        <v>0</v>
      </c>
      <c r="S739">
        <f t="shared" si="126"/>
        <v>0</v>
      </c>
      <c r="T739">
        <f t="shared" si="127"/>
        <v>0</v>
      </c>
      <c r="U739">
        <f t="shared" si="128"/>
        <v>0</v>
      </c>
      <c r="V739">
        <f t="shared" si="129"/>
        <v>0</v>
      </c>
      <c r="W739">
        <f t="shared" si="130"/>
        <v>0</v>
      </c>
      <c r="X739">
        <f t="shared" si="131"/>
        <v>0</v>
      </c>
      <c r="Y739">
        <f t="shared" si="132"/>
        <v>0</v>
      </c>
      <c r="Z739">
        <f t="shared" si="133"/>
        <v>0</v>
      </c>
      <c r="AA739" t="str">
        <f>INDEX('Priority activities'!$D$5:$D$86,MATCH('Database for analysis'!C739,'Priority activities'!$C$5:$C$86,0))</f>
        <v>n/a</v>
      </c>
    </row>
    <row r="740" spans="2:27" ht="16.5" thickTop="1" thickBot="1" x14ac:dyDescent="0.3">
      <c r="B740" t="s">
        <v>263</v>
      </c>
      <c r="C740" s="22" t="str">
        <f>'Costing inputs'!$C$370</f>
        <v>Policy documents (PE1.1)</v>
      </c>
      <c r="D740" s="22" t="str">
        <f>'Costing inputs'!$U$370</f>
        <v>Central level</v>
      </c>
      <c r="E740" s="22" t="str">
        <f>'Regional splits'!$D$14</f>
        <v>Copperbelt</v>
      </c>
      <c r="F740">
        <v>0</v>
      </c>
      <c r="G740">
        <v>0</v>
      </c>
      <c r="H740">
        <v>0</v>
      </c>
      <c r="I740">
        <v>0</v>
      </c>
      <c r="J740">
        <v>0</v>
      </c>
      <c r="K740">
        <v>0</v>
      </c>
      <c r="L740">
        <v>0</v>
      </c>
      <c r="M740">
        <v>0</v>
      </c>
      <c r="N740">
        <v>0</v>
      </c>
      <c r="O740">
        <v>0</v>
      </c>
      <c r="P740" s="5">
        <f t="shared" si="123"/>
        <v>0</v>
      </c>
      <c r="Q740">
        <f t="shared" si="124"/>
        <v>0</v>
      </c>
      <c r="R740">
        <f t="shared" si="125"/>
        <v>0</v>
      </c>
      <c r="S740">
        <f t="shared" si="126"/>
        <v>0</v>
      </c>
      <c r="T740">
        <f t="shared" si="127"/>
        <v>0</v>
      </c>
      <c r="U740">
        <f t="shared" si="128"/>
        <v>0</v>
      </c>
      <c r="V740">
        <f t="shared" si="129"/>
        <v>0</v>
      </c>
      <c r="W740">
        <f t="shared" si="130"/>
        <v>0</v>
      </c>
      <c r="X740">
        <f t="shared" si="131"/>
        <v>0</v>
      </c>
      <c r="Y740">
        <f t="shared" si="132"/>
        <v>0</v>
      </c>
      <c r="Z740">
        <f t="shared" si="133"/>
        <v>0</v>
      </c>
      <c r="AA740" t="str">
        <f>INDEX('Priority activities'!$D$5:$D$86,MATCH('Database for analysis'!C740,'Priority activities'!$C$5:$C$86,0))</f>
        <v>n/a</v>
      </c>
    </row>
    <row r="741" spans="2:27" ht="16.5" thickTop="1" thickBot="1" x14ac:dyDescent="0.3">
      <c r="B741" t="s">
        <v>263</v>
      </c>
      <c r="C741" s="22" t="str">
        <f>'Costing inputs'!$C$370</f>
        <v>Policy documents (PE1.1)</v>
      </c>
      <c r="D741" s="22" t="str">
        <f>'Costing inputs'!$U$370</f>
        <v>Central level</v>
      </c>
      <c r="E741" s="22" t="str">
        <f>'Regional splits'!$E$14</f>
        <v>Eastern</v>
      </c>
      <c r="F741">
        <v>0</v>
      </c>
      <c r="G741">
        <v>0</v>
      </c>
      <c r="H741">
        <v>0</v>
      </c>
      <c r="I741">
        <v>0</v>
      </c>
      <c r="J741">
        <v>0</v>
      </c>
      <c r="K741">
        <v>0</v>
      </c>
      <c r="L741">
        <v>0</v>
      </c>
      <c r="M741">
        <v>0</v>
      </c>
      <c r="N741">
        <v>0</v>
      </c>
      <c r="O741">
        <v>0</v>
      </c>
      <c r="P741" s="5">
        <f t="shared" si="123"/>
        <v>0</v>
      </c>
      <c r="Q741">
        <f t="shared" si="124"/>
        <v>0</v>
      </c>
      <c r="R741">
        <f t="shared" si="125"/>
        <v>0</v>
      </c>
      <c r="S741">
        <f t="shared" si="126"/>
        <v>0</v>
      </c>
      <c r="T741">
        <f t="shared" si="127"/>
        <v>0</v>
      </c>
      <c r="U741">
        <f t="shared" si="128"/>
        <v>0</v>
      </c>
      <c r="V741">
        <f t="shared" si="129"/>
        <v>0</v>
      </c>
      <c r="W741">
        <f t="shared" si="130"/>
        <v>0</v>
      </c>
      <c r="X741">
        <f t="shared" si="131"/>
        <v>0</v>
      </c>
      <c r="Y741">
        <f t="shared" si="132"/>
        <v>0</v>
      </c>
      <c r="Z741">
        <f t="shared" si="133"/>
        <v>0</v>
      </c>
      <c r="AA741" t="str">
        <f>INDEX('Priority activities'!$D$5:$D$86,MATCH('Database for analysis'!C741,'Priority activities'!$C$5:$C$86,0))</f>
        <v>n/a</v>
      </c>
    </row>
    <row r="742" spans="2:27" ht="16.5" thickTop="1" thickBot="1" x14ac:dyDescent="0.3">
      <c r="B742" t="s">
        <v>263</v>
      </c>
      <c r="C742" s="22" t="str">
        <f>'Costing inputs'!$C$370</f>
        <v>Policy documents (PE1.1)</v>
      </c>
      <c r="D742" s="22" t="str">
        <f>'Costing inputs'!$U$370</f>
        <v>Central level</v>
      </c>
      <c r="E742" s="22" t="str">
        <f>'Regional splits'!$F$14</f>
        <v>Luapula</v>
      </c>
      <c r="F742">
        <v>0</v>
      </c>
      <c r="G742">
        <v>0</v>
      </c>
      <c r="H742">
        <v>0</v>
      </c>
      <c r="I742">
        <v>0</v>
      </c>
      <c r="J742">
        <v>0</v>
      </c>
      <c r="K742">
        <v>0</v>
      </c>
      <c r="L742">
        <v>0</v>
      </c>
      <c r="M742">
        <v>0</v>
      </c>
      <c r="N742">
        <v>0</v>
      </c>
      <c r="O742">
        <v>0</v>
      </c>
      <c r="P742" s="5">
        <f t="shared" si="123"/>
        <v>0</v>
      </c>
      <c r="Q742">
        <f t="shared" si="124"/>
        <v>0</v>
      </c>
      <c r="R742">
        <f t="shared" si="125"/>
        <v>0</v>
      </c>
      <c r="S742">
        <f t="shared" si="126"/>
        <v>0</v>
      </c>
      <c r="T742">
        <f t="shared" si="127"/>
        <v>0</v>
      </c>
      <c r="U742">
        <f t="shared" si="128"/>
        <v>0</v>
      </c>
      <c r="V742">
        <f t="shared" si="129"/>
        <v>0</v>
      </c>
      <c r="W742">
        <f t="shared" si="130"/>
        <v>0</v>
      </c>
      <c r="X742">
        <f t="shared" si="131"/>
        <v>0</v>
      </c>
      <c r="Y742">
        <f t="shared" si="132"/>
        <v>0</v>
      </c>
      <c r="Z742">
        <f t="shared" si="133"/>
        <v>0</v>
      </c>
      <c r="AA742" t="str">
        <f>INDEX('Priority activities'!$D$5:$D$86,MATCH('Database for analysis'!C742,'Priority activities'!$C$5:$C$86,0))</f>
        <v>n/a</v>
      </c>
    </row>
    <row r="743" spans="2:27" ht="16.5" thickTop="1" thickBot="1" x14ac:dyDescent="0.3">
      <c r="B743" t="s">
        <v>263</v>
      </c>
      <c r="C743" s="22" t="str">
        <f>'Costing inputs'!$C$370</f>
        <v>Policy documents (PE1.1)</v>
      </c>
      <c r="D743" s="22" t="str">
        <f>'Costing inputs'!$U$370</f>
        <v>Central level</v>
      </c>
      <c r="E743" s="22" t="str">
        <f>'Regional splits'!$G$14</f>
        <v>Lusaka</v>
      </c>
      <c r="F743">
        <v>0</v>
      </c>
      <c r="G743">
        <v>0</v>
      </c>
      <c r="H743">
        <v>0</v>
      </c>
      <c r="I743">
        <v>0</v>
      </c>
      <c r="J743">
        <v>0</v>
      </c>
      <c r="K743">
        <v>0</v>
      </c>
      <c r="L743">
        <v>0</v>
      </c>
      <c r="M743">
        <v>0</v>
      </c>
      <c r="N743">
        <v>0</v>
      </c>
      <c r="O743">
        <v>0</v>
      </c>
      <c r="P743" s="5">
        <f t="shared" si="123"/>
        <v>0</v>
      </c>
      <c r="Q743">
        <f t="shared" si="124"/>
        <v>0</v>
      </c>
      <c r="R743">
        <f t="shared" si="125"/>
        <v>0</v>
      </c>
      <c r="S743">
        <f t="shared" si="126"/>
        <v>0</v>
      </c>
      <c r="T743">
        <f t="shared" si="127"/>
        <v>0</v>
      </c>
      <c r="U743">
        <f t="shared" si="128"/>
        <v>0</v>
      </c>
      <c r="V743">
        <f t="shared" si="129"/>
        <v>0</v>
      </c>
      <c r="W743">
        <f t="shared" si="130"/>
        <v>0</v>
      </c>
      <c r="X743">
        <f t="shared" si="131"/>
        <v>0</v>
      </c>
      <c r="Y743">
        <f t="shared" si="132"/>
        <v>0</v>
      </c>
      <c r="Z743">
        <f t="shared" si="133"/>
        <v>0</v>
      </c>
      <c r="AA743" t="str">
        <f>INDEX('Priority activities'!$D$5:$D$86,MATCH('Database for analysis'!C743,'Priority activities'!$C$5:$C$86,0))</f>
        <v>n/a</v>
      </c>
    </row>
    <row r="744" spans="2:27" ht="16.5" thickTop="1" thickBot="1" x14ac:dyDescent="0.3">
      <c r="B744" t="s">
        <v>263</v>
      </c>
      <c r="C744" s="22" t="str">
        <f>'Costing inputs'!$C$370</f>
        <v>Policy documents (PE1.1)</v>
      </c>
      <c r="D744" s="22" t="str">
        <f>'Costing inputs'!$U$370</f>
        <v>Central level</v>
      </c>
      <c r="E744" s="22" t="str">
        <f>'Regional splits'!$H$14</f>
        <v>Muchinga</v>
      </c>
      <c r="F744">
        <v>0</v>
      </c>
      <c r="G744">
        <v>0</v>
      </c>
      <c r="H744">
        <v>0</v>
      </c>
      <c r="I744">
        <v>0</v>
      </c>
      <c r="J744">
        <v>0</v>
      </c>
      <c r="K744">
        <v>0</v>
      </c>
      <c r="L744">
        <v>0</v>
      </c>
      <c r="M744">
        <v>0</v>
      </c>
      <c r="N744">
        <v>0</v>
      </c>
      <c r="O744">
        <v>0</v>
      </c>
      <c r="P744" s="5">
        <f t="shared" si="123"/>
        <v>0</v>
      </c>
      <c r="Q744">
        <f t="shared" si="124"/>
        <v>0</v>
      </c>
      <c r="R744">
        <f t="shared" si="125"/>
        <v>0</v>
      </c>
      <c r="S744">
        <f t="shared" si="126"/>
        <v>0</v>
      </c>
      <c r="T744">
        <f t="shared" si="127"/>
        <v>0</v>
      </c>
      <c r="U744">
        <f t="shared" si="128"/>
        <v>0</v>
      </c>
      <c r="V744">
        <f t="shared" si="129"/>
        <v>0</v>
      </c>
      <c r="W744">
        <f t="shared" si="130"/>
        <v>0</v>
      </c>
      <c r="X744">
        <f t="shared" si="131"/>
        <v>0</v>
      </c>
      <c r="Y744">
        <f t="shared" si="132"/>
        <v>0</v>
      </c>
      <c r="Z744">
        <f t="shared" si="133"/>
        <v>0</v>
      </c>
      <c r="AA744" t="str">
        <f>INDEX('Priority activities'!$D$5:$D$86,MATCH('Database for analysis'!C744,'Priority activities'!$C$5:$C$86,0))</f>
        <v>n/a</v>
      </c>
    </row>
    <row r="745" spans="2:27" ht="16.5" thickTop="1" thickBot="1" x14ac:dyDescent="0.3">
      <c r="B745" t="s">
        <v>263</v>
      </c>
      <c r="C745" s="22" t="str">
        <f>'Costing inputs'!$C$370</f>
        <v>Policy documents (PE1.1)</v>
      </c>
      <c r="D745" s="22" t="str">
        <f>'Costing inputs'!$U$370</f>
        <v>Central level</v>
      </c>
      <c r="E745" s="22" t="str">
        <f>'Regional splits'!$I$14</f>
        <v>Northern</v>
      </c>
      <c r="F745">
        <v>0</v>
      </c>
      <c r="G745">
        <v>0</v>
      </c>
      <c r="H745">
        <v>0</v>
      </c>
      <c r="I745">
        <v>0</v>
      </c>
      <c r="J745">
        <v>0</v>
      </c>
      <c r="K745">
        <v>0</v>
      </c>
      <c r="L745">
        <v>0</v>
      </c>
      <c r="M745">
        <v>0</v>
      </c>
      <c r="N745">
        <v>0</v>
      </c>
      <c r="O745">
        <v>0</v>
      </c>
      <c r="P745" s="5">
        <f t="shared" si="123"/>
        <v>0</v>
      </c>
      <c r="Q745">
        <f t="shared" si="124"/>
        <v>0</v>
      </c>
      <c r="R745">
        <f t="shared" si="125"/>
        <v>0</v>
      </c>
      <c r="S745">
        <f t="shared" si="126"/>
        <v>0</v>
      </c>
      <c r="T745">
        <f t="shared" si="127"/>
        <v>0</v>
      </c>
      <c r="U745">
        <f t="shared" si="128"/>
        <v>0</v>
      </c>
      <c r="V745">
        <f t="shared" si="129"/>
        <v>0</v>
      </c>
      <c r="W745">
        <f t="shared" si="130"/>
        <v>0</v>
      </c>
      <c r="X745">
        <f t="shared" si="131"/>
        <v>0</v>
      </c>
      <c r="Y745">
        <f t="shared" si="132"/>
        <v>0</v>
      </c>
      <c r="Z745">
        <f t="shared" si="133"/>
        <v>0</v>
      </c>
      <c r="AA745" t="str">
        <f>INDEX('Priority activities'!$D$5:$D$86,MATCH('Database for analysis'!C745,'Priority activities'!$C$5:$C$86,0))</f>
        <v>n/a</v>
      </c>
    </row>
    <row r="746" spans="2:27" ht="16.5" thickTop="1" thickBot="1" x14ac:dyDescent="0.3">
      <c r="B746" t="s">
        <v>263</v>
      </c>
      <c r="C746" s="22" t="str">
        <f>'Costing inputs'!$C$370</f>
        <v>Policy documents (PE1.1)</v>
      </c>
      <c r="D746" s="22" t="str">
        <f>'Costing inputs'!$U$370</f>
        <v>Central level</v>
      </c>
      <c r="E746" s="22" t="str">
        <f>'Regional splits'!$J$14</f>
        <v>North Western</v>
      </c>
      <c r="F746">
        <v>0</v>
      </c>
      <c r="G746">
        <v>0</v>
      </c>
      <c r="H746">
        <v>0</v>
      </c>
      <c r="I746">
        <v>0</v>
      </c>
      <c r="J746">
        <v>0</v>
      </c>
      <c r="K746">
        <v>0</v>
      </c>
      <c r="L746">
        <v>0</v>
      </c>
      <c r="M746">
        <v>0</v>
      </c>
      <c r="N746">
        <v>0</v>
      </c>
      <c r="O746">
        <v>0</v>
      </c>
      <c r="P746" s="5">
        <f t="shared" si="123"/>
        <v>0</v>
      </c>
      <c r="Q746">
        <f t="shared" si="124"/>
        <v>0</v>
      </c>
      <c r="R746">
        <f t="shared" si="125"/>
        <v>0</v>
      </c>
      <c r="S746">
        <f t="shared" si="126"/>
        <v>0</v>
      </c>
      <c r="T746">
        <f t="shared" si="127"/>
        <v>0</v>
      </c>
      <c r="U746">
        <f t="shared" si="128"/>
        <v>0</v>
      </c>
      <c r="V746">
        <f t="shared" si="129"/>
        <v>0</v>
      </c>
      <c r="W746">
        <f t="shared" si="130"/>
        <v>0</v>
      </c>
      <c r="X746">
        <f t="shared" si="131"/>
        <v>0</v>
      </c>
      <c r="Y746">
        <f t="shared" si="132"/>
        <v>0</v>
      </c>
      <c r="Z746">
        <f t="shared" si="133"/>
        <v>0</v>
      </c>
      <c r="AA746" t="str">
        <f>INDEX('Priority activities'!$D$5:$D$86,MATCH('Database for analysis'!C746,'Priority activities'!$C$5:$C$86,0))</f>
        <v>n/a</v>
      </c>
    </row>
    <row r="747" spans="2:27" ht="16.5" thickTop="1" thickBot="1" x14ac:dyDescent="0.3">
      <c r="B747" t="s">
        <v>263</v>
      </c>
      <c r="C747" s="22" t="str">
        <f>'Costing inputs'!$C$370</f>
        <v>Policy documents (PE1.1)</v>
      </c>
      <c r="D747" s="22" t="str">
        <f>'Costing inputs'!$U$370</f>
        <v>Central level</v>
      </c>
      <c r="E747" s="22" t="str">
        <f>'Regional splits'!$K$14</f>
        <v>Southern</v>
      </c>
      <c r="F747">
        <v>0</v>
      </c>
      <c r="G747">
        <v>0</v>
      </c>
      <c r="H747">
        <v>0</v>
      </c>
      <c r="I747">
        <v>0</v>
      </c>
      <c r="J747">
        <v>0</v>
      </c>
      <c r="K747">
        <v>0</v>
      </c>
      <c r="L747">
        <v>0</v>
      </c>
      <c r="M747">
        <v>0</v>
      </c>
      <c r="N747">
        <v>0</v>
      </c>
      <c r="O747">
        <v>0</v>
      </c>
      <c r="P747" s="5">
        <f t="shared" si="123"/>
        <v>0</v>
      </c>
      <c r="Q747">
        <f t="shared" si="124"/>
        <v>0</v>
      </c>
      <c r="R747">
        <f t="shared" si="125"/>
        <v>0</v>
      </c>
      <c r="S747">
        <f t="shared" si="126"/>
        <v>0</v>
      </c>
      <c r="T747">
        <f t="shared" si="127"/>
        <v>0</v>
      </c>
      <c r="U747">
        <f t="shared" si="128"/>
        <v>0</v>
      </c>
      <c r="V747">
        <f t="shared" si="129"/>
        <v>0</v>
      </c>
      <c r="W747">
        <f t="shared" si="130"/>
        <v>0</v>
      </c>
      <c r="X747">
        <f t="shared" si="131"/>
        <v>0</v>
      </c>
      <c r="Y747">
        <f t="shared" si="132"/>
        <v>0</v>
      </c>
      <c r="Z747">
        <f t="shared" si="133"/>
        <v>0</v>
      </c>
      <c r="AA747" t="str">
        <f>INDEX('Priority activities'!$D$5:$D$86,MATCH('Database for analysis'!C747,'Priority activities'!$C$5:$C$86,0))</f>
        <v>n/a</v>
      </c>
    </row>
    <row r="748" spans="2:27" ht="16.5" thickTop="1" thickBot="1" x14ac:dyDescent="0.3">
      <c r="B748" t="s">
        <v>263</v>
      </c>
      <c r="C748" s="22" t="str">
        <f>'Costing inputs'!$C$370</f>
        <v>Policy documents (PE1.1)</v>
      </c>
      <c r="D748" s="22" t="str">
        <f>'Costing inputs'!$U$370</f>
        <v>Central level</v>
      </c>
      <c r="E748" s="22" t="str">
        <f>'Regional splits'!$L$14</f>
        <v>Western</v>
      </c>
      <c r="F748">
        <v>0</v>
      </c>
      <c r="G748">
        <v>0</v>
      </c>
      <c r="H748">
        <v>0</v>
      </c>
      <c r="I748">
        <v>0</v>
      </c>
      <c r="J748">
        <v>0</v>
      </c>
      <c r="K748">
        <v>0</v>
      </c>
      <c r="L748">
        <v>0</v>
      </c>
      <c r="M748">
        <v>0</v>
      </c>
      <c r="N748">
        <v>0</v>
      </c>
      <c r="O748">
        <v>0</v>
      </c>
      <c r="P748" s="5">
        <f t="shared" si="123"/>
        <v>0</v>
      </c>
      <c r="Q748">
        <f t="shared" si="124"/>
        <v>0</v>
      </c>
      <c r="R748">
        <f t="shared" si="125"/>
        <v>0</v>
      </c>
      <c r="S748">
        <f t="shared" si="126"/>
        <v>0</v>
      </c>
      <c r="T748">
        <f t="shared" si="127"/>
        <v>0</v>
      </c>
      <c r="U748">
        <f t="shared" si="128"/>
        <v>0</v>
      </c>
      <c r="V748">
        <f t="shared" si="129"/>
        <v>0</v>
      </c>
      <c r="W748">
        <f t="shared" si="130"/>
        <v>0</v>
      </c>
      <c r="X748">
        <f t="shared" si="131"/>
        <v>0</v>
      </c>
      <c r="Y748">
        <f t="shared" si="132"/>
        <v>0</v>
      </c>
      <c r="Z748">
        <f t="shared" si="133"/>
        <v>0</v>
      </c>
      <c r="AA748" t="str">
        <f>INDEX('Priority activities'!$D$5:$D$86,MATCH('Database for analysis'!C748,'Priority activities'!$C$5:$C$86,0))</f>
        <v>n/a</v>
      </c>
    </row>
    <row r="749" spans="2:27" ht="16.5" thickTop="1" thickBot="1" x14ac:dyDescent="0.3">
      <c r="B749" t="s">
        <v>263</v>
      </c>
      <c r="C749" s="22" t="str">
        <f>'Costing inputs'!$C$370</f>
        <v>Policy documents (PE1.1)</v>
      </c>
      <c r="D749" s="22" t="str">
        <f>'Costing inputs'!$U$370</f>
        <v>Central level</v>
      </c>
      <c r="E749" s="22">
        <f>'Regional splits'!$M$14</f>
        <v>0</v>
      </c>
      <c r="F749">
        <v>0</v>
      </c>
      <c r="G749">
        <v>0</v>
      </c>
      <c r="H749">
        <v>0</v>
      </c>
      <c r="I749">
        <v>0</v>
      </c>
      <c r="J749">
        <v>0</v>
      </c>
      <c r="K749">
        <v>0</v>
      </c>
      <c r="L749">
        <v>0</v>
      </c>
      <c r="M749">
        <v>0</v>
      </c>
      <c r="N749">
        <v>0</v>
      </c>
      <c r="O749">
        <v>0</v>
      </c>
      <c r="P749" s="5">
        <f t="shared" si="123"/>
        <v>0</v>
      </c>
      <c r="Q749">
        <f t="shared" si="124"/>
        <v>0</v>
      </c>
      <c r="R749">
        <f t="shared" si="125"/>
        <v>0</v>
      </c>
      <c r="S749">
        <f t="shared" si="126"/>
        <v>0</v>
      </c>
      <c r="T749">
        <f t="shared" si="127"/>
        <v>0</v>
      </c>
      <c r="U749">
        <f t="shared" si="128"/>
        <v>0</v>
      </c>
      <c r="V749">
        <f t="shared" si="129"/>
        <v>0</v>
      </c>
      <c r="W749">
        <f t="shared" si="130"/>
        <v>0</v>
      </c>
      <c r="X749">
        <f t="shared" si="131"/>
        <v>0</v>
      </c>
      <c r="Y749">
        <f t="shared" si="132"/>
        <v>0</v>
      </c>
      <c r="Z749">
        <f t="shared" si="133"/>
        <v>0</v>
      </c>
      <c r="AA749" t="str">
        <f>INDEX('Priority activities'!$D$5:$D$86,MATCH('Database for analysis'!C749,'Priority activities'!$C$5:$C$86,0))</f>
        <v>n/a</v>
      </c>
    </row>
    <row r="750" spans="2:27" ht="16.5" thickTop="1" thickBot="1" x14ac:dyDescent="0.3">
      <c r="B750" t="s">
        <v>263</v>
      </c>
      <c r="C750" s="22" t="str">
        <f>'Costing inputs'!$C$370</f>
        <v>Policy documents (PE1.1)</v>
      </c>
      <c r="D750" s="22" t="str">
        <f>'Costing inputs'!$U$370</f>
        <v>Central level</v>
      </c>
      <c r="E750" s="22">
        <f>'Regional splits'!$N$14</f>
        <v>0</v>
      </c>
      <c r="F750">
        <v>0</v>
      </c>
      <c r="G750">
        <v>0</v>
      </c>
      <c r="H750">
        <v>0</v>
      </c>
      <c r="I750">
        <v>0</v>
      </c>
      <c r="J750">
        <v>0</v>
      </c>
      <c r="K750">
        <v>0</v>
      </c>
      <c r="L750">
        <v>0</v>
      </c>
      <c r="M750">
        <v>0</v>
      </c>
      <c r="N750">
        <v>0</v>
      </c>
      <c r="O750">
        <v>0</v>
      </c>
      <c r="P750" s="5">
        <f t="shared" si="123"/>
        <v>0</v>
      </c>
      <c r="Q750">
        <f t="shared" si="124"/>
        <v>0</v>
      </c>
      <c r="R750">
        <f t="shared" si="125"/>
        <v>0</v>
      </c>
      <c r="S750">
        <f t="shared" si="126"/>
        <v>0</v>
      </c>
      <c r="T750">
        <f t="shared" si="127"/>
        <v>0</v>
      </c>
      <c r="U750">
        <f t="shared" si="128"/>
        <v>0</v>
      </c>
      <c r="V750">
        <f t="shared" si="129"/>
        <v>0</v>
      </c>
      <c r="W750">
        <f t="shared" si="130"/>
        <v>0</v>
      </c>
      <c r="X750">
        <f t="shared" si="131"/>
        <v>0</v>
      </c>
      <c r="Y750">
        <f t="shared" si="132"/>
        <v>0</v>
      </c>
      <c r="Z750">
        <f t="shared" si="133"/>
        <v>0</v>
      </c>
      <c r="AA750" t="str">
        <f>INDEX('Priority activities'!$D$5:$D$86,MATCH('Database for analysis'!C750,'Priority activities'!$C$5:$C$86,0))</f>
        <v>n/a</v>
      </c>
    </row>
    <row r="751" spans="2:27" ht="16.5" thickTop="1" thickBot="1" x14ac:dyDescent="0.3">
      <c r="B751" t="s">
        <v>263</v>
      </c>
      <c r="C751" s="22" t="str">
        <f>'Costing inputs'!$C$370</f>
        <v>Policy documents (PE1.1)</v>
      </c>
      <c r="D751" s="22" t="str">
        <f>'Costing inputs'!$U$370</f>
        <v>Central level</v>
      </c>
      <c r="E751" s="22">
        <f>'Regional splits'!$O$14</f>
        <v>0</v>
      </c>
      <c r="F751">
        <v>0</v>
      </c>
      <c r="G751">
        <v>0</v>
      </c>
      <c r="H751">
        <v>0</v>
      </c>
      <c r="I751">
        <v>0</v>
      </c>
      <c r="J751">
        <v>0</v>
      </c>
      <c r="K751">
        <v>0</v>
      </c>
      <c r="L751">
        <v>0</v>
      </c>
      <c r="M751">
        <v>0</v>
      </c>
      <c r="N751">
        <v>0</v>
      </c>
      <c r="O751">
        <v>0</v>
      </c>
      <c r="P751" s="5">
        <f t="shared" si="123"/>
        <v>0</v>
      </c>
      <c r="Q751">
        <f t="shared" si="124"/>
        <v>0</v>
      </c>
      <c r="R751">
        <f t="shared" si="125"/>
        <v>0</v>
      </c>
      <c r="S751">
        <f t="shared" si="126"/>
        <v>0</v>
      </c>
      <c r="T751">
        <f t="shared" si="127"/>
        <v>0</v>
      </c>
      <c r="U751">
        <f t="shared" si="128"/>
        <v>0</v>
      </c>
      <c r="V751">
        <f t="shared" si="129"/>
        <v>0</v>
      </c>
      <c r="W751">
        <f t="shared" si="130"/>
        <v>0</v>
      </c>
      <c r="X751">
        <f t="shared" si="131"/>
        <v>0</v>
      </c>
      <c r="Y751">
        <f t="shared" si="132"/>
        <v>0</v>
      </c>
      <c r="Z751">
        <f t="shared" si="133"/>
        <v>0</v>
      </c>
      <c r="AA751" t="str">
        <f>INDEX('Priority activities'!$D$5:$D$86,MATCH('Database for analysis'!C751,'Priority activities'!$C$5:$C$86,0))</f>
        <v>n/a</v>
      </c>
    </row>
    <row r="752" spans="2:27" ht="16.5" thickTop="1" thickBot="1" x14ac:dyDescent="0.3">
      <c r="B752" t="s">
        <v>263</v>
      </c>
      <c r="C752" s="22" t="str">
        <f>'Costing inputs'!$C$370</f>
        <v>Policy documents (PE1.1)</v>
      </c>
      <c r="D752" s="22" t="str">
        <f>'Costing inputs'!$U$370</f>
        <v>Central level</v>
      </c>
      <c r="E752" s="22">
        <f>'Regional splits'!$P$14</f>
        <v>0</v>
      </c>
      <c r="F752">
        <v>0</v>
      </c>
      <c r="G752">
        <v>0</v>
      </c>
      <c r="H752">
        <v>0</v>
      </c>
      <c r="I752">
        <v>0</v>
      </c>
      <c r="J752">
        <v>0</v>
      </c>
      <c r="K752">
        <v>0</v>
      </c>
      <c r="L752">
        <v>0</v>
      </c>
      <c r="M752">
        <v>0</v>
      </c>
      <c r="N752">
        <v>0</v>
      </c>
      <c r="O752">
        <v>0</v>
      </c>
      <c r="P752" s="5">
        <f t="shared" si="123"/>
        <v>0</v>
      </c>
      <c r="Q752">
        <f t="shared" si="124"/>
        <v>0</v>
      </c>
      <c r="R752">
        <f t="shared" si="125"/>
        <v>0</v>
      </c>
      <c r="S752">
        <f t="shared" si="126"/>
        <v>0</v>
      </c>
      <c r="T752">
        <f t="shared" si="127"/>
        <v>0</v>
      </c>
      <c r="U752">
        <f t="shared" si="128"/>
        <v>0</v>
      </c>
      <c r="V752">
        <f t="shared" si="129"/>
        <v>0</v>
      </c>
      <c r="W752">
        <f t="shared" si="130"/>
        <v>0</v>
      </c>
      <c r="X752">
        <f t="shared" si="131"/>
        <v>0</v>
      </c>
      <c r="Y752">
        <f t="shared" si="132"/>
        <v>0</v>
      </c>
      <c r="Z752">
        <f t="shared" si="133"/>
        <v>0</v>
      </c>
      <c r="AA752" t="str">
        <f>INDEX('Priority activities'!$D$5:$D$86,MATCH('Database for analysis'!C752,'Priority activities'!$C$5:$C$86,0))</f>
        <v>n/a</v>
      </c>
    </row>
    <row r="753" spans="2:27" ht="16.5" thickTop="1" thickBot="1" x14ac:dyDescent="0.3">
      <c r="B753" t="s">
        <v>263</v>
      </c>
      <c r="C753" s="22" t="str">
        <f>'Costing inputs'!$C$370</f>
        <v>Policy documents (PE1.1)</v>
      </c>
      <c r="D753" s="22" t="str">
        <f>'Costing inputs'!$U$370</f>
        <v>Central level</v>
      </c>
      <c r="E753" s="22">
        <f>'Regional splits'!$Q$14</f>
        <v>0</v>
      </c>
      <c r="F753">
        <v>0</v>
      </c>
      <c r="G753">
        <v>0</v>
      </c>
      <c r="H753">
        <v>0</v>
      </c>
      <c r="I753">
        <v>0</v>
      </c>
      <c r="J753">
        <v>0</v>
      </c>
      <c r="K753">
        <v>0</v>
      </c>
      <c r="L753">
        <v>0</v>
      </c>
      <c r="M753">
        <v>0</v>
      </c>
      <c r="N753">
        <v>0</v>
      </c>
      <c r="O753">
        <v>0</v>
      </c>
      <c r="P753" s="5">
        <f t="shared" si="123"/>
        <v>0</v>
      </c>
      <c r="Q753">
        <f t="shared" si="124"/>
        <v>0</v>
      </c>
      <c r="R753">
        <f t="shared" si="125"/>
        <v>0</v>
      </c>
      <c r="S753">
        <f t="shared" si="126"/>
        <v>0</v>
      </c>
      <c r="T753">
        <f t="shared" si="127"/>
        <v>0</v>
      </c>
      <c r="U753">
        <f t="shared" si="128"/>
        <v>0</v>
      </c>
      <c r="V753">
        <f t="shared" si="129"/>
        <v>0</v>
      </c>
      <c r="W753">
        <f t="shared" si="130"/>
        <v>0</v>
      </c>
      <c r="X753">
        <f t="shared" si="131"/>
        <v>0</v>
      </c>
      <c r="Y753">
        <f t="shared" si="132"/>
        <v>0</v>
      </c>
      <c r="Z753">
        <f t="shared" si="133"/>
        <v>0</v>
      </c>
      <c r="AA753" t="str">
        <f>INDEX('Priority activities'!$D$5:$D$86,MATCH('Database for analysis'!C753,'Priority activities'!$C$5:$C$86,0))</f>
        <v>n/a</v>
      </c>
    </row>
    <row r="754" spans="2:27" ht="16.5" thickTop="1" thickBot="1" x14ac:dyDescent="0.3">
      <c r="B754" t="s">
        <v>263</v>
      </c>
      <c r="C754" s="22" t="str">
        <f>'Costing inputs'!$C$370</f>
        <v>Policy documents (PE1.1)</v>
      </c>
      <c r="D754" s="22" t="str">
        <f>'Costing inputs'!$U$370</f>
        <v>Central level</v>
      </c>
      <c r="E754" s="22" t="str">
        <f>'Regional splits'!$R$14</f>
        <v>National-level</v>
      </c>
      <c r="F754">
        <v>0</v>
      </c>
      <c r="G754">
        <v>45000</v>
      </c>
      <c r="H754">
        <v>0</v>
      </c>
      <c r="I754">
        <v>45000</v>
      </c>
      <c r="J754">
        <v>0</v>
      </c>
      <c r="K754">
        <v>45000</v>
      </c>
      <c r="L754">
        <v>0</v>
      </c>
      <c r="M754">
        <v>0</v>
      </c>
      <c r="N754">
        <v>0</v>
      </c>
      <c r="O754">
        <v>0</v>
      </c>
      <c r="P754" s="5">
        <f t="shared" si="123"/>
        <v>135000</v>
      </c>
      <c r="Q754">
        <f t="shared" si="124"/>
        <v>0</v>
      </c>
      <c r="R754">
        <f t="shared" si="125"/>
        <v>45000</v>
      </c>
      <c r="S754">
        <f t="shared" si="126"/>
        <v>0</v>
      </c>
      <c r="T754">
        <f t="shared" si="127"/>
        <v>45000</v>
      </c>
      <c r="U754">
        <f t="shared" si="128"/>
        <v>0</v>
      </c>
      <c r="V754">
        <f t="shared" si="129"/>
        <v>45000</v>
      </c>
      <c r="W754">
        <f t="shared" si="130"/>
        <v>0</v>
      </c>
      <c r="X754">
        <f t="shared" si="131"/>
        <v>0</v>
      </c>
      <c r="Y754">
        <f t="shared" si="132"/>
        <v>0</v>
      </c>
      <c r="Z754">
        <f t="shared" si="133"/>
        <v>0</v>
      </c>
      <c r="AA754" t="str">
        <f>INDEX('Priority activities'!$D$5:$D$86,MATCH('Database for analysis'!C754,'Priority activities'!$C$5:$C$86,0))</f>
        <v>n/a</v>
      </c>
    </row>
    <row r="755" spans="2:27" ht="16.5" thickTop="1" thickBot="1" x14ac:dyDescent="0.3">
      <c r="B755" t="s">
        <v>263</v>
      </c>
      <c r="C755" s="22" t="str">
        <f>'Costing inputs'!$C$372</f>
        <v>International advocacy (n/a)</v>
      </c>
      <c r="D755" s="22" t="str">
        <f>'Costing inputs'!$U$372</f>
        <v>Central level</v>
      </c>
      <c r="E755" s="22" t="str">
        <f>'Regional splits'!$C$14</f>
        <v>Central</v>
      </c>
      <c r="F755">
        <f t="array" ref="F755:O770">'Costing inputs'!S372*'Costing inputs'!AP372:AY372*TRANSPOSE('Costing inputs'!W372:AL372)</f>
        <v>0</v>
      </c>
      <c r="G755">
        <v>0</v>
      </c>
      <c r="H755">
        <v>0</v>
      </c>
      <c r="I755">
        <v>0</v>
      </c>
      <c r="J755">
        <v>0</v>
      </c>
      <c r="K755">
        <v>0</v>
      </c>
      <c r="L755">
        <v>0</v>
      </c>
      <c r="M755">
        <v>0</v>
      </c>
      <c r="N755">
        <v>0</v>
      </c>
      <c r="O755">
        <v>0</v>
      </c>
      <c r="P755" s="5">
        <f t="shared" si="123"/>
        <v>0</v>
      </c>
      <c r="Q755">
        <f t="shared" si="124"/>
        <v>0</v>
      </c>
      <c r="R755">
        <f t="shared" si="125"/>
        <v>0</v>
      </c>
      <c r="S755">
        <f t="shared" si="126"/>
        <v>0</v>
      </c>
      <c r="T755">
        <f t="shared" si="127"/>
        <v>0</v>
      </c>
      <c r="U755">
        <f t="shared" si="128"/>
        <v>0</v>
      </c>
      <c r="V755">
        <f t="shared" si="129"/>
        <v>0</v>
      </c>
      <c r="W755">
        <f t="shared" si="130"/>
        <v>0</v>
      </c>
      <c r="X755">
        <f t="shared" si="131"/>
        <v>0</v>
      </c>
      <c r="Y755">
        <f t="shared" si="132"/>
        <v>0</v>
      </c>
      <c r="Z755">
        <f t="shared" si="133"/>
        <v>0</v>
      </c>
      <c r="AA755" t="str">
        <f>INDEX('Priority activities'!$D$5:$D$86,MATCH('Database for analysis'!C755,'Priority activities'!$C$5:$C$86,0))</f>
        <v>n/a</v>
      </c>
    </row>
    <row r="756" spans="2:27" ht="16.5" thickTop="1" thickBot="1" x14ac:dyDescent="0.3">
      <c r="B756" t="s">
        <v>263</v>
      </c>
      <c r="C756" s="22" t="str">
        <f>'Costing inputs'!$C$372</f>
        <v>International advocacy (n/a)</v>
      </c>
      <c r="D756" s="22" t="str">
        <f>'Costing inputs'!$U$372</f>
        <v>Central level</v>
      </c>
      <c r="E756" s="22" t="str">
        <f>'Regional splits'!$D$14</f>
        <v>Copperbelt</v>
      </c>
      <c r="F756">
        <v>0</v>
      </c>
      <c r="G756">
        <v>0</v>
      </c>
      <c r="H756">
        <v>0</v>
      </c>
      <c r="I756">
        <v>0</v>
      </c>
      <c r="J756">
        <v>0</v>
      </c>
      <c r="K756">
        <v>0</v>
      </c>
      <c r="L756">
        <v>0</v>
      </c>
      <c r="M756">
        <v>0</v>
      </c>
      <c r="N756">
        <v>0</v>
      </c>
      <c r="O756">
        <v>0</v>
      </c>
      <c r="P756" s="5">
        <f t="shared" si="123"/>
        <v>0</v>
      </c>
      <c r="Q756">
        <f t="shared" si="124"/>
        <v>0</v>
      </c>
      <c r="R756">
        <f t="shared" si="125"/>
        <v>0</v>
      </c>
      <c r="S756">
        <f t="shared" si="126"/>
        <v>0</v>
      </c>
      <c r="T756">
        <f t="shared" si="127"/>
        <v>0</v>
      </c>
      <c r="U756">
        <f t="shared" si="128"/>
        <v>0</v>
      </c>
      <c r="V756">
        <f t="shared" si="129"/>
        <v>0</v>
      </c>
      <c r="W756">
        <f t="shared" si="130"/>
        <v>0</v>
      </c>
      <c r="X756">
        <f t="shared" si="131"/>
        <v>0</v>
      </c>
      <c r="Y756">
        <f t="shared" si="132"/>
        <v>0</v>
      </c>
      <c r="Z756">
        <f t="shared" si="133"/>
        <v>0</v>
      </c>
      <c r="AA756" t="str">
        <f>INDEX('Priority activities'!$D$5:$D$86,MATCH('Database for analysis'!C756,'Priority activities'!$C$5:$C$86,0))</f>
        <v>n/a</v>
      </c>
    </row>
    <row r="757" spans="2:27" ht="16.5" thickTop="1" thickBot="1" x14ac:dyDescent="0.3">
      <c r="B757" t="s">
        <v>263</v>
      </c>
      <c r="C757" s="22" t="str">
        <f>'Costing inputs'!$C$372</f>
        <v>International advocacy (n/a)</v>
      </c>
      <c r="D757" s="22" t="str">
        <f>'Costing inputs'!$U$372</f>
        <v>Central level</v>
      </c>
      <c r="E757" s="22" t="str">
        <f>'Regional splits'!$E$14</f>
        <v>Eastern</v>
      </c>
      <c r="F757">
        <v>0</v>
      </c>
      <c r="G757">
        <v>0</v>
      </c>
      <c r="H757">
        <v>0</v>
      </c>
      <c r="I757">
        <v>0</v>
      </c>
      <c r="J757">
        <v>0</v>
      </c>
      <c r="K757">
        <v>0</v>
      </c>
      <c r="L757">
        <v>0</v>
      </c>
      <c r="M757">
        <v>0</v>
      </c>
      <c r="N757">
        <v>0</v>
      </c>
      <c r="O757">
        <v>0</v>
      </c>
      <c r="P757" s="5">
        <f t="shared" si="123"/>
        <v>0</v>
      </c>
      <c r="Q757">
        <f t="shared" si="124"/>
        <v>0</v>
      </c>
      <c r="R757">
        <f t="shared" si="125"/>
        <v>0</v>
      </c>
      <c r="S757">
        <f t="shared" si="126"/>
        <v>0</v>
      </c>
      <c r="T757">
        <f t="shared" si="127"/>
        <v>0</v>
      </c>
      <c r="U757">
        <f t="shared" si="128"/>
        <v>0</v>
      </c>
      <c r="V757">
        <f t="shared" si="129"/>
        <v>0</v>
      </c>
      <c r="W757">
        <f t="shared" si="130"/>
        <v>0</v>
      </c>
      <c r="X757">
        <f t="shared" si="131"/>
        <v>0</v>
      </c>
      <c r="Y757">
        <f t="shared" si="132"/>
        <v>0</v>
      </c>
      <c r="Z757">
        <f t="shared" si="133"/>
        <v>0</v>
      </c>
      <c r="AA757" t="str">
        <f>INDEX('Priority activities'!$D$5:$D$86,MATCH('Database for analysis'!C757,'Priority activities'!$C$5:$C$86,0))</f>
        <v>n/a</v>
      </c>
    </row>
    <row r="758" spans="2:27" ht="16.5" thickTop="1" thickBot="1" x14ac:dyDescent="0.3">
      <c r="B758" t="s">
        <v>263</v>
      </c>
      <c r="C758" s="22" t="str">
        <f>'Costing inputs'!$C$372</f>
        <v>International advocacy (n/a)</v>
      </c>
      <c r="D758" s="22" t="str">
        <f>'Costing inputs'!$U$372</f>
        <v>Central level</v>
      </c>
      <c r="E758" s="22" t="str">
        <f>'Regional splits'!$F$14</f>
        <v>Luapula</v>
      </c>
      <c r="F758">
        <v>0</v>
      </c>
      <c r="G758">
        <v>0</v>
      </c>
      <c r="H758">
        <v>0</v>
      </c>
      <c r="I758">
        <v>0</v>
      </c>
      <c r="J758">
        <v>0</v>
      </c>
      <c r="K758">
        <v>0</v>
      </c>
      <c r="L758">
        <v>0</v>
      </c>
      <c r="M758">
        <v>0</v>
      </c>
      <c r="N758">
        <v>0</v>
      </c>
      <c r="O758">
        <v>0</v>
      </c>
      <c r="P758" s="5">
        <f t="shared" si="123"/>
        <v>0</v>
      </c>
      <c r="Q758">
        <f t="shared" si="124"/>
        <v>0</v>
      </c>
      <c r="R758">
        <f t="shared" si="125"/>
        <v>0</v>
      </c>
      <c r="S758">
        <f t="shared" si="126"/>
        <v>0</v>
      </c>
      <c r="T758">
        <f t="shared" si="127"/>
        <v>0</v>
      </c>
      <c r="U758">
        <f t="shared" si="128"/>
        <v>0</v>
      </c>
      <c r="V758">
        <f t="shared" si="129"/>
        <v>0</v>
      </c>
      <c r="W758">
        <f t="shared" si="130"/>
        <v>0</v>
      </c>
      <c r="X758">
        <f t="shared" si="131"/>
        <v>0</v>
      </c>
      <c r="Y758">
        <f t="shared" si="132"/>
        <v>0</v>
      </c>
      <c r="Z758">
        <f t="shared" si="133"/>
        <v>0</v>
      </c>
      <c r="AA758" t="str">
        <f>INDEX('Priority activities'!$D$5:$D$86,MATCH('Database for analysis'!C758,'Priority activities'!$C$5:$C$86,0))</f>
        <v>n/a</v>
      </c>
    </row>
    <row r="759" spans="2:27" ht="16.5" thickTop="1" thickBot="1" x14ac:dyDescent="0.3">
      <c r="B759" t="s">
        <v>263</v>
      </c>
      <c r="C759" s="22" t="str">
        <f>'Costing inputs'!$C$372</f>
        <v>International advocacy (n/a)</v>
      </c>
      <c r="D759" s="22" t="str">
        <f>'Costing inputs'!$U$372</f>
        <v>Central level</v>
      </c>
      <c r="E759" s="22" t="str">
        <f>'Regional splits'!$G$14</f>
        <v>Lusaka</v>
      </c>
      <c r="F759">
        <v>0</v>
      </c>
      <c r="G759">
        <v>0</v>
      </c>
      <c r="H759">
        <v>0</v>
      </c>
      <c r="I759">
        <v>0</v>
      </c>
      <c r="J759">
        <v>0</v>
      </c>
      <c r="K759">
        <v>0</v>
      </c>
      <c r="L759">
        <v>0</v>
      </c>
      <c r="M759">
        <v>0</v>
      </c>
      <c r="N759">
        <v>0</v>
      </c>
      <c r="O759">
        <v>0</v>
      </c>
      <c r="P759" s="5">
        <f t="shared" si="123"/>
        <v>0</v>
      </c>
      <c r="Q759">
        <f t="shared" si="124"/>
        <v>0</v>
      </c>
      <c r="R759">
        <f t="shared" si="125"/>
        <v>0</v>
      </c>
      <c r="S759">
        <f t="shared" si="126"/>
        <v>0</v>
      </c>
      <c r="T759">
        <f t="shared" si="127"/>
        <v>0</v>
      </c>
      <c r="U759">
        <f t="shared" si="128"/>
        <v>0</v>
      </c>
      <c r="V759">
        <f t="shared" si="129"/>
        <v>0</v>
      </c>
      <c r="W759">
        <f t="shared" si="130"/>
        <v>0</v>
      </c>
      <c r="X759">
        <f t="shared" si="131"/>
        <v>0</v>
      </c>
      <c r="Y759">
        <f t="shared" si="132"/>
        <v>0</v>
      </c>
      <c r="Z759">
        <f t="shared" si="133"/>
        <v>0</v>
      </c>
      <c r="AA759" t="str">
        <f>INDEX('Priority activities'!$D$5:$D$86,MATCH('Database for analysis'!C759,'Priority activities'!$C$5:$C$86,0))</f>
        <v>n/a</v>
      </c>
    </row>
    <row r="760" spans="2:27" ht="16.5" thickTop="1" thickBot="1" x14ac:dyDescent="0.3">
      <c r="B760" t="s">
        <v>263</v>
      </c>
      <c r="C760" s="22" t="str">
        <f>'Costing inputs'!$C$372</f>
        <v>International advocacy (n/a)</v>
      </c>
      <c r="D760" s="22" t="str">
        <f>'Costing inputs'!$U$372</f>
        <v>Central level</v>
      </c>
      <c r="E760" s="22" t="str">
        <f>'Regional splits'!$H$14</f>
        <v>Muchinga</v>
      </c>
      <c r="F760">
        <v>0</v>
      </c>
      <c r="G760">
        <v>0</v>
      </c>
      <c r="H760">
        <v>0</v>
      </c>
      <c r="I760">
        <v>0</v>
      </c>
      <c r="J760">
        <v>0</v>
      </c>
      <c r="K760">
        <v>0</v>
      </c>
      <c r="L760">
        <v>0</v>
      </c>
      <c r="M760">
        <v>0</v>
      </c>
      <c r="N760">
        <v>0</v>
      </c>
      <c r="O760">
        <v>0</v>
      </c>
      <c r="P760" s="5">
        <f t="shared" si="123"/>
        <v>0</v>
      </c>
      <c r="Q760">
        <f t="shared" si="124"/>
        <v>0</v>
      </c>
      <c r="R760">
        <f t="shared" si="125"/>
        <v>0</v>
      </c>
      <c r="S760">
        <f t="shared" si="126"/>
        <v>0</v>
      </c>
      <c r="T760">
        <f t="shared" si="127"/>
        <v>0</v>
      </c>
      <c r="U760">
        <f t="shared" si="128"/>
        <v>0</v>
      </c>
      <c r="V760">
        <f t="shared" si="129"/>
        <v>0</v>
      </c>
      <c r="W760">
        <f t="shared" si="130"/>
        <v>0</v>
      </c>
      <c r="X760">
        <f t="shared" si="131"/>
        <v>0</v>
      </c>
      <c r="Y760">
        <f t="shared" si="132"/>
        <v>0</v>
      </c>
      <c r="Z760">
        <f t="shared" si="133"/>
        <v>0</v>
      </c>
      <c r="AA760" t="str">
        <f>INDEX('Priority activities'!$D$5:$D$86,MATCH('Database for analysis'!C760,'Priority activities'!$C$5:$C$86,0))</f>
        <v>n/a</v>
      </c>
    </row>
    <row r="761" spans="2:27" ht="16.5" thickTop="1" thickBot="1" x14ac:dyDescent="0.3">
      <c r="B761" t="s">
        <v>263</v>
      </c>
      <c r="C761" s="22" t="str">
        <f>'Costing inputs'!$C$372</f>
        <v>International advocacy (n/a)</v>
      </c>
      <c r="D761" s="22" t="str">
        <f>'Costing inputs'!$U$372</f>
        <v>Central level</v>
      </c>
      <c r="E761" s="22" t="str">
        <f>'Regional splits'!$I$14</f>
        <v>Northern</v>
      </c>
      <c r="F761">
        <v>0</v>
      </c>
      <c r="G761">
        <v>0</v>
      </c>
      <c r="H761">
        <v>0</v>
      </c>
      <c r="I761">
        <v>0</v>
      </c>
      <c r="J761">
        <v>0</v>
      </c>
      <c r="K761">
        <v>0</v>
      </c>
      <c r="L761">
        <v>0</v>
      </c>
      <c r="M761">
        <v>0</v>
      </c>
      <c r="N761">
        <v>0</v>
      </c>
      <c r="O761">
        <v>0</v>
      </c>
      <c r="P761" s="5">
        <f t="shared" si="123"/>
        <v>0</v>
      </c>
      <c r="Q761">
        <f t="shared" si="124"/>
        <v>0</v>
      </c>
      <c r="R761">
        <f t="shared" si="125"/>
        <v>0</v>
      </c>
      <c r="S761">
        <f t="shared" si="126"/>
        <v>0</v>
      </c>
      <c r="T761">
        <f t="shared" si="127"/>
        <v>0</v>
      </c>
      <c r="U761">
        <f t="shared" si="128"/>
        <v>0</v>
      </c>
      <c r="V761">
        <f t="shared" si="129"/>
        <v>0</v>
      </c>
      <c r="W761">
        <f t="shared" si="130"/>
        <v>0</v>
      </c>
      <c r="X761">
        <f t="shared" si="131"/>
        <v>0</v>
      </c>
      <c r="Y761">
        <f t="shared" si="132"/>
        <v>0</v>
      </c>
      <c r="Z761">
        <f t="shared" si="133"/>
        <v>0</v>
      </c>
      <c r="AA761" t="str">
        <f>INDEX('Priority activities'!$D$5:$D$86,MATCH('Database for analysis'!C761,'Priority activities'!$C$5:$C$86,0))</f>
        <v>n/a</v>
      </c>
    </row>
    <row r="762" spans="2:27" ht="16.5" thickTop="1" thickBot="1" x14ac:dyDescent="0.3">
      <c r="B762" t="s">
        <v>263</v>
      </c>
      <c r="C762" s="22" t="str">
        <f>'Costing inputs'!$C$372</f>
        <v>International advocacy (n/a)</v>
      </c>
      <c r="D762" s="22" t="str">
        <f>'Costing inputs'!$U$372</f>
        <v>Central level</v>
      </c>
      <c r="E762" s="22" t="str">
        <f>'Regional splits'!$J$14</f>
        <v>North Western</v>
      </c>
      <c r="F762">
        <v>0</v>
      </c>
      <c r="G762">
        <v>0</v>
      </c>
      <c r="H762">
        <v>0</v>
      </c>
      <c r="I762">
        <v>0</v>
      </c>
      <c r="J762">
        <v>0</v>
      </c>
      <c r="K762">
        <v>0</v>
      </c>
      <c r="L762">
        <v>0</v>
      </c>
      <c r="M762">
        <v>0</v>
      </c>
      <c r="N762">
        <v>0</v>
      </c>
      <c r="O762">
        <v>0</v>
      </c>
      <c r="P762" s="5">
        <f t="shared" si="123"/>
        <v>0</v>
      </c>
      <c r="Q762">
        <f t="shared" si="124"/>
        <v>0</v>
      </c>
      <c r="R762">
        <f t="shared" si="125"/>
        <v>0</v>
      </c>
      <c r="S762">
        <f t="shared" si="126"/>
        <v>0</v>
      </c>
      <c r="T762">
        <f t="shared" si="127"/>
        <v>0</v>
      </c>
      <c r="U762">
        <f t="shared" si="128"/>
        <v>0</v>
      </c>
      <c r="V762">
        <f t="shared" si="129"/>
        <v>0</v>
      </c>
      <c r="W762">
        <f t="shared" si="130"/>
        <v>0</v>
      </c>
      <c r="X762">
        <f t="shared" si="131"/>
        <v>0</v>
      </c>
      <c r="Y762">
        <f t="shared" si="132"/>
        <v>0</v>
      </c>
      <c r="Z762">
        <f t="shared" si="133"/>
        <v>0</v>
      </c>
      <c r="AA762" t="str">
        <f>INDEX('Priority activities'!$D$5:$D$86,MATCH('Database for analysis'!C762,'Priority activities'!$C$5:$C$86,0))</f>
        <v>n/a</v>
      </c>
    </row>
    <row r="763" spans="2:27" ht="16.5" thickTop="1" thickBot="1" x14ac:dyDescent="0.3">
      <c r="B763" t="s">
        <v>263</v>
      </c>
      <c r="C763" s="22" t="str">
        <f>'Costing inputs'!$C$372</f>
        <v>International advocacy (n/a)</v>
      </c>
      <c r="D763" s="22" t="str">
        <f>'Costing inputs'!$U$372</f>
        <v>Central level</v>
      </c>
      <c r="E763" s="22" t="str">
        <f>'Regional splits'!$K$14</f>
        <v>Southern</v>
      </c>
      <c r="F763">
        <v>0</v>
      </c>
      <c r="G763">
        <v>0</v>
      </c>
      <c r="H763">
        <v>0</v>
      </c>
      <c r="I763">
        <v>0</v>
      </c>
      <c r="J763">
        <v>0</v>
      </c>
      <c r="K763">
        <v>0</v>
      </c>
      <c r="L763">
        <v>0</v>
      </c>
      <c r="M763">
        <v>0</v>
      </c>
      <c r="N763">
        <v>0</v>
      </c>
      <c r="O763">
        <v>0</v>
      </c>
      <c r="P763" s="5">
        <f t="shared" si="123"/>
        <v>0</v>
      </c>
      <c r="Q763">
        <f t="shared" si="124"/>
        <v>0</v>
      </c>
      <c r="R763">
        <f t="shared" si="125"/>
        <v>0</v>
      </c>
      <c r="S763">
        <f t="shared" si="126"/>
        <v>0</v>
      </c>
      <c r="T763">
        <f t="shared" si="127"/>
        <v>0</v>
      </c>
      <c r="U763">
        <f t="shared" si="128"/>
        <v>0</v>
      </c>
      <c r="V763">
        <f t="shared" si="129"/>
        <v>0</v>
      </c>
      <c r="W763">
        <f t="shared" si="130"/>
        <v>0</v>
      </c>
      <c r="X763">
        <f t="shared" si="131"/>
        <v>0</v>
      </c>
      <c r="Y763">
        <f t="shared" si="132"/>
        <v>0</v>
      </c>
      <c r="Z763">
        <f t="shared" si="133"/>
        <v>0</v>
      </c>
      <c r="AA763" t="str">
        <f>INDEX('Priority activities'!$D$5:$D$86,MATCH('Database for analysis'!C763,'Priority activities'!$C$5:$C$86,0))</f>
        <v>n/a</v>
      </c>
    </row>
    <row r="764" spans="2:27" ht="16.5" thickTop="1" thickBot="1" x14ac:dyDescent="0.3">
      <c r="B764" t="s">
        <v>263</v>
      </c>
      <c r="C764" s="22" t="str">
        <f>'Costing inputs'!$C$372</f>
        <v>International advocacy (n/a)</v>
      </c>
      <c r="D764" s="22" t="str">
        <f>'Costing inputs'!$U$372</f>
        <v>Central level</v>
      </c>
      <c r="E764" s="22" t="str">
        <f>'Regional splits'!$L$14</f>
        <v>Western</v>
      </c>
      <c r="F764">
        <v>0</v>
      </c>
      <c r="G764">
        <v>0</v>
      </c>
      <c r="H764">
        <v>0</v>
      </c>
      <c r="I764">
        <v>0</v>
      </c>
      <c r="J764">
        <v>0</v>
      </c>
      <c r="K764">
        <v>0</v>
      </c>
      <c r="L764">
        <v>0</v>
      </c>
      <c r="M764">
        <v>0</v>
      </c>
      <c r="N764">
        <v>0</v>
      </c>
      <c r="O764">
        <v>0</v>
      </c>
      <c r="P764" s="5">
        <f t="shared" si="123"/>
        <v>0</v>
      </c>
      <c r="Q764">
        <f t="shared" si="124"/>
        <v>0</v>
      </c>
      <c r="R764">
        <f t="shared" si="125"/>
        <v>0</v>
      </c>
      <c r="S764">
        <f t="shared" si="126"/>
        <v>0</v>
      </c>
      <c r="T764">
        <f t="shared" si="127"/>
        <v>0</v>
      </c>
      <c r="U764">
        <f t="shared" si="128"/>
        <v>0</v>
      </c>
      <c r="V764">
        <f t="shared" si="129"/>
        <v>0</v>
      </c>
      <c r="W764">
        <f t="shared" si="130"/>
        <v>0</v>
      </c>
      <c r="X764">
        <f t="shared" si="131"/>
        <v>0</v>
      </c>
      <c r="Y764">
        <f t="shared" si="132"/>
        <v>0</v>
      </c>
      <c r="Z764">
        <f t="shared" si="133"/>
        <v>0</v>
      </c>
      <c r="AA764" t="str">
        <f>INDEX('Priority activities'!$D$5:$D$86,MATCH('Database for analysis'!C764,'Priority activities'!$C$5:$C$86,0))</f>
        <v>n/a</v>
      </c>
    </row>
    <row r="765" spans="2:27" ht="16.5" thickTop="1" thickBot="1" x14ac:dyDescent="0.3">
      <c r="B765" t="s">
        <v>263</v>
      </c>
      <c r="C765" s="22" t="str">
        <f>'Costing inputs'!$C$372</f>
        <v>International advocacy (n/a)</v>
      </c>
      <c r="D765" s="22" t="str">
        <f>'Costing inputs'!$U$372</f>
        <v>Central level</v>
      </c>
      <c r="E765" s="22">
        <f>'Regional splits'!$M$14</f>
        <v>0</v>
      </c>
      <c r="F765">
        <v>0</v>
      </c>
      <c r="G765">
        <v>0</v>
      </c>
      <c r="H765">
        <v>0</v>
      </c>
      <c r="I765">
        <v>0</v>
      </c>
      <c r="J765">
        <v>0</v>
      </c>
      <c r="K765">
        <v>0</v>
      </c>
      <c r="L765">
        <v>0</v>
      </c>
      <c r="M765">
        <v>0</v>
      </c>
      <c r="N765">
        <v>0</v>
      </c>
      <c r="O765">
        <v>0</v>
      </c>
      <c r="P765" s="5">
        <f t="shared" si="123"/>
        <v>0</v>
      </c>
      <c r="Q765">
        <f t="shared" si="124"/>
        <v>0</v>
      </c>
      <c r="R765">
        <f t="shared" si="125"/>
        <v>0</v>
      </c>
      <c r="S765">
        <f t="shared" si="126"/>
        <v>0</v>
      </c>
      <c r="T765">
        <f t="shared" si="127"/>
        <v>0</v>
      </c>
      <c r="U765">
        <f t="shared" si="128"/>
        <v>0</v>
      </c>
      <c r="V765">
        <f t="shared" si="129"/>
        <v>0</v>
      </c>
      <c r="W765">
        <f t="shared" si="130"/>
        <v>0</v>
      </c>
      <c r="X765">
        <f t="shared" si="131"/>
        <v>0</v>
      </c>
      <c r="Y765">
        <f t="shared" si="132"/>
        <v>0</v>
      </c>
      <c r="Z765">
        <f t="shared" si="133"/>
        <v>0</v>
      </c>
      <c r="AA765" t="str">
        <f>INDEX('Priority activities'!$D$5:$D$86,MATCH('Database for analysis'!C765,'Priority activities'!$C$5:$C$86,0))</f>
        <v>n/a</v>
      </c>
    </row>
    <row r="766" spans="2:27" ht="16.5" thickTop="1" thickBot="1" x14ac:dyDescent="0.3">
      <c r="B766" t="s">
        <v>263</v>
      </c>
      <c r="C766" s="22" t="str">
        <f>'Costing inputs'!$C$372</f>
        <v>International advocacy (n/a)</v>
      </c>
      <c r="D766" s="22" t="str">
        <f>'Costing inputs'!$U$372</f>
        <v>Central level</v>
      </c>
      <c r="E766" s="22">
        <f>'Regional splits'!$N$14</f>
        <v>0</v>
      </c>
      <c r="F766">
        <v>0</v>
      </c>
      <c r="G766">
        <v>0</v>
      </c>
      <c r="H766">
        <v>0</v>
      </c>
      <c r="I766">
        <v>0</v>
      </c>
      <c r="J766">
        <v>0</v>
      </c>
      <c r="K766">
        <v>0</v>
      </c>
      <c r="L766">
        <v>0</v>
      </c>
      <c r="M766">
        <v>0</v>
      </c>
      <c r="N766">
        <v>0</v>
      </c>
      <c r="O766">
        <v>0</v>
      </c>
      <c r="P766" s="5">
        <f t="shared" si="123"/>
        <v>0</v>
      </c>
      <c r="Q766">
        <f t="shared" si="124"/>
        <v>0</v>
      </c>
      <c r="R766">
        <f t="shared" si="125"/>
        <v>0</v>
      </c>
      <c r="S766">
        <f t="shared" si="126"/>
        <v>0</v>
      </c>
      <c r="T766">
        <f t="shared" si="127"/>
        <v>0</v>
      </c>
      <c r="U766">
        <f t="shared" si="128"/>
        <v>0</v>
      </c>
      <c r="V766">
        <f t="shared" si="129"/>
        <v>0</v>
      </c>
      <c r="W766">
        <f t="shared" si="130"/>
        <v>0</v>
      </c>
      <c r="X766">
        <f t="shared" si="131"/>
        <v>0</v>
      </c>
      <c r="Y766">
        <f t="shared" si="132"/>
        <v>0</v>
      </c>
      <c r="Z766">
        <f t="shared" si="133"/>
        <v>0</v>
      </c>
      <c r="AA766" t="str">
        <f>INDEX('Priority activities'!$D$5:$D$86,MATCH('Database for analysis'!C766,'Priority activities'!$C$5:$C$86,0))</f>
        <v>n/a</v>
      </c>
    </row>
    <row r="767" spans="2:27" ht="16.5" thickTop="1" thickBot="1" x14ac:dyDescent="0.3">
      <c r="B767" t="s">
        <v>263</v>
      </c>
      <c r="C767" s="22" t="str">
        <f>'Costing inputs'!$C$372</f>
        <v>International advocacy (n/a)</v>
      </c>
      <c r="D767" s="22" t="str">
        <f>'Costing inputs'!$U$372</f>
        <v>Central level</v>
      </c>
      <c r="E767" s="22">
        <f>'Regional splits'!$O$14</f>
        <v>0</v>
      </c>
      <c r="F767">
        <v>0</v>
      </c>
      <c r="G767">
        <v>0</v>
      </c>
      <c r="H767">
        <v>0</v>
      </c>
      <c r="I767">
        <v>0</v>
      </c>
      <c r="J767">
        <v>0</v>
      </c>
      <c r="K767">
        <v>0</v>
      </c>
      <c r="L767">
        <v>0</v>
      </c>
      <c r="M767">
        <v>0</v>
      </c>
      <c r="N767">
        <v>0</v>
      </c>
      <c r="O767">
        <v>0</v>
      </c>
      <c r="P767" s="5">
        <f t="shared" si="123"/>
        <v>0</v>
      </c>
      <c r="Q767">
        <f t="shared" si="124"/>
        <v>0</v>
      </c>
      <c r="R767">
        <f t="shared" si="125"/>
        <v>0</v>
      </c>
      <c r="S767">
        <f t="shared" si="126"/>
        <v>0</v>
      </c>
      <c r="T767">
        <f t="shared" si="127"/>
        <v>0</v>
      </c>
      <c r="U767">
        <f t="shared" si="128"/>
        <v>0</v>
      </c>
      <c r="V767">
        <f t="shared" si="129"/>
        <v>0</v>
      </c>
      <c r="W767">
        <f t="shared" si="130"/>
        <v>0</v>
      </c>
      <c r="X767">
        <f t="shared" si="131"/>
        <v>0</v>
      </c>
      <c r="Y767">
        <f t="shared" si="132"/>
        <v>0</v>
      </c>
      <c r="Z767">
        <f t="shared" si="133"/>
        <v>0</v>
      </c>
      <c r="AA767" t="str">
        <f>INDEX('Priority activities'!$D$5:$D$86,MATCH('Database for analysis'!C767,'Priority activities'!$C$5:$C$86,0))</f>
        <v>n/a</v>
      </c>
    </row>
    <row r="768" spans="2:27" ht="16.5" thickTop="1" thickBot="1" x14ac:dyDescent="0.3">
      <c r="B768" t="s">
        <v>263</v>
      </c>
      <c r="C768" s="22" t="str">
        <f>'Costing inputs'!$C$372</f>
        <v>International advocacy (n/a)</v>
      </c>
      <c r="D768" s="22" t="str">
        <f>'Costing inputs'!$U$372</f>
        <v>Central level</v>
      </c>
      <c r="E768" s="22">
        <f>'Regional splits'!$P$14</f>
        <v>0</v>
      </c>
      <c r="F768">
        <v>0</v>
      </c>
      <c r="G768">
        <v>0</v>
      </c>
      <c r="H768">
        <v>0</v>
      </c>
      <c r="I768">
        <v>0</v>
      </c>
      <c r="J768">
        <v>0</v>
      </c>
      <c r="K768">
        <v>0</v>
      </c>
      <c r="L768">
        <v>0</v>
      </c>
      <c r="M768">
        <v>0</v>
      </c>
      <c r="N768">
        <v>0</v>
      </c>
      <c r="O768">
        <v>0</v>
      </c>
      <c r="P768" s="5">
        <f t="shared" si="123"/>
        <v>0</v>
      </c>
      <c r="Q768">
        <f t="shared" si="124"/>
        <v>0</v>
      </c>
      <c r="R768">
        <f t="shared" si="125"/>
        <v>0</v>
      </c>
      <c r="S768">
        <f t="shared" si="126"/>
        <v>0</v>
      </c>
      <c r="T768">
        <f t="shared" si="127"/>
        <v>0</v>
      </c>
      <c r="U768">
        <f t="shared" si="128"/>
        <v>0</v>
      </c>
      <c r="V768">
        <f t="shared" si="129"/>
        <v>0</v>
      </c>
      <c r="W768">
        <f t="shared" si="130"/>
        <v>0</v>
      </c>
      <c r="X768">
        <f t="shared" si="131"/>
        <v>0</v>
      </c>
      <c r="Y768">
        <f t="shared" si="132"/>
        <v>0</v>
      </c>
      <c r="Z768">
        <f t="shared" si="133"/>
        <v>0</v>
      </c>
      <c r="AA768" t="str">
        <f>INDEX('Priority activities'!$D$5:$D$86,MATCH('Database for analysis'!C768,'Priority activities'!$C$5:$C$86,0))</f>
        <v>n/a</v>
      </c>
    </row>
    <row r="769" spans="2:27" ht="16.5" thickTop="1" thickBot="1" x14ac:dyDescent="0.3">
      <c r="B769" t="s">
        <v>263</v>
      </c>
      <c r="C769" s="22" t="str">
        <f>'Costing inputs'!$C$372</f>
        <v>International advocacy (n/a)</v>
      </c>
      <c r="D769" s="22" t="str">
        <f>'Costing inputs'!$U$372</f>
        <v>Central level</v>
      </c>
      <c r="E769" s="22">
        <f>'Regional splits'!$Q$14</f>
        <v>0</v>
      </c>
      <c r="F769">
        <v>0</v>
      </c>
      <c r="G769">
        <v>0</v>
      </c>
      <c r="H769">
        <v>0</v>
      </c>
      <c r="I769">
        <v>0</v>
      </c>
      <c r="J769">
        <v>0</v>
      </c>
      <c r="K769">
        <v>0</v>
      </c>
      <c r="L769">
        <v>0</v>
      </c>
      <c r="M769">
        <v>0</v>
      </c>
      <c r="N769">
        <v>0</v>
      </c>
      <c r="O769">
        <v>0</v>
      </c>
      <c r="P769" s="5">
        <f t="shared" si="123"/>
        <v>0</v>
      </c>
      <c r="Q769">
        <f t="shared" si="124"/>
        <v>0</v>
      </c>
      <c r="R769">
        <f t="shared" si="125"/>
        <v>0</v>
      </c>
      <c r="S769">
        <f t="shared" si="126"/>
        <v>0</v>
      </c>
      <c r="T769">
        <f t="shared" si="127"/>
        <v>0</v>
      </c>
      <c r="U769">
        <f t="shared" si="128"/>
        <v>0</v>
      </c>
      <c r="V769">
        <f t="shared" si="129"/>
        <v>0</v>
      </c>
      <c r="W769">
        <f t="shared" si="130"/>
        <v>0</v>
      </c>
      <c r="X769">
        <f t="shared" si="131"/>
        <v>0</v>
      </c>
      <c r="Y769">
        <f t="shared" si="132"/>
        <v>0</v>
      </c>
      <c r="Z769">
        <f t="shared" si="133"/>
        <v>0</v>
      </c>
      <c r="AA769" t="str">
        <f>INDEX('Priority activities'!$D$5:$D$86,MATCH('Database for analysis'!C769,'Priority activities'!$C$5:$C$86,0))</f>
        <v>n/a</v>
      </c>
    </row>
    <row r="770" spans="2:27" ht="16.5" thickTop="1" thickBot="1" x14ac:dyDescent="0.3">
      <c r="B770" t="s">
        <v>263</v>
      </c>
      <c r="C770" s="22" t="str">
        <f>'Costing inputs'!$C$372</f>
        <v>International advocacy (n/a)</v>
      </c>
      <c r="D770" s="22" t="str">
        <f>'Costing inputs'!$U$372</f>
        <v>Central level</v>
      </c>
      <c r="E770" s="22" t="str">
        <f>'Regional splits'!$R$14</f>
        <v>National-level</v>
      </c>
      <c r="F770">
        <v>0</v>
      </c>
      <c r="G770">
        <v>0</v>
      </c>
      <c r="H770">
        <v>0</v>
      </c>
      <c r="I770">
        <v>0</v>
      </c>
      <c r="J770">
        <v>0</v>
      </c>
      <c r="K770">
        <v>0</v>
      </c>
      <c r="L770">
        <v>0</v>
      </c>
      <c r="M770">
        <v>0</v>
      </c>
      <c r="N770">
        <v>0</v>
      </c>
      <c r="O770">
        <v>0</v>
      </c>
      <c r="P770" s="5">
        <f t="shared" si="123"/>
        <v>0</v>
      </c>
      <c r="Q770">
        <f t="shared" si="124"/>
        <v>0</v>
      </c>
      <c r="R770">
        <f t="shared" si="125"/>
        <v>0</v>
      </c>
      <c r="S770">
        <f t="shared" si="126"/>
        <v>0</v>
      </c>
      <c r="T770">
        <f t="shared" si="127"/>
        <v>0</v>
      </c>
      <c r="U770">
        <f t="shared" si="128"/>
        <v>0</v>
      </c>
      <c r="V770">
        <f t="shared" si="129"/>
        <v>0</v>
      </c>
      <c r="W770">
        <f t="shared" si="130"/>
        <v>0</v>
      </c>
      <c r="X770">
        <f t="shared" si="131"/>
        <v>0</v>
      </c>
      <c r="Y770">
        <f t="shared" si="132"/>
        <v>0</v>
      </c>
      <c r="Z770">
        <f t="shared" si="133"/>
        <v>0</v>
      </c>
      <c r="AA770" t="str">
        <f>INDEX('Priority activities'!$D$5:$D$86,MATCH('Database for analysis'!C770,'Priority activities'!$C$5:$C$86,0))</f>
        <v>n/a</v>
      </c>
    </row>
    <row r="771" spans="2:27" ht="16.5" thickTop="1" thickBot="1" x14ac:dyDescent="0.3">
      <c r="B771" t="s">
        <v>263</v>
      </c>
      <c r="C771" s="22" t="str">
        <f>'Costing inputs'!$C$376</f>
        <v>Consortium of FP advocates -ongoing support (PE2.2)</v>
      </c>
      <c r="D771" s="22" t="str">
        <f>'Costing inputs'!$U$376</f>
        <v>Central level</v>
      </c>
      <c r="E771" s="22" t="str">
        <f>'Regional splits'!$C$14</f>
        <v>Central</v>
      </c>
      <c r="F771">
        <f t="array" ref="F771:O786">'Costing inputs'!S376*'Costing inputs'!AP376:AY376*TRANSPOSE('Costing inputs'!W376:AL376)</f>
        <v>0</v>
      </c>
      <c r="G771">
        <v>0</v>
      </c>
      <c r="H771">
        <v>0</v>
      </c>
      <c r="I771">
        <v>0</v>
      </c>
      <c r="J771">
        <v>0</v>
      </c>
      <c r="K771">
        <v>0</v>
      </c>
      <c r="L771">
        <v>0</v>
      </c>
      <c r="M771">
        <v>0</v>
      </c>
      <c r="N771">
        <v>0</v>
      </c>
      <c r="O771">
        <v>0</v>
      </c>
      <c r="P771" s="5">
        <f t="shared" si="123"/>
        <v>0</v>
      </c>
      <c r="Q771">
        <f t="shared" si="124"/>
        <v>0</v>
      </c>
      <c r="R771">
        <f t="shared" si="125"/>
        <v>0</v>
      </c>
      <c r="S771">
        <f t="shared" si="126"/>
        <v>0</v>
      </c>
      <c r="T771">
        <f t="shared" si="127"/>
        <v>0</v>
      </c>
      <c r="U771">
        <f t="shared" si="128"/>
        <v>0</v>
      </c>
      <c r="V771">
        <f t="shared" si="129"/>
        <v>0</v>
      </c>
      <c r="W771">
        <f t="shared" si="130"/>
        <v>0</v>
      </c>
      <c r="X771">
        <f t="shared" si="131"/>
        <v>0</v>
      </c>
      <c r="Y771">
        <f t="shared" si="132"/>
        <v>0</v>
      </c>
      <c r="Z771">
        <f t="shared" si="133"/>
        <v>0</v>
      </c>
      <c r="AA771" t="str">
        <f>INDEX('Priority activities'!$D$5:$D$86,MATCH('Database for analysis'!C771,'Priority activities'!$C$5:$C$86,0))</f>
        <v>n/a</v>
      </c>
    </row>
    <row r="772" spans="2:27" ht="16.5" thickTop="1" thickBot="1" x14ac:dyDescent="0.3">
      <c r="B772" t="s">
        <v>263</v>
      </c>
      <c r="C772" s="22" t="str">
        <f>'Costing inputs'!$C$376</f>
        <v>Consortium of FP advocates -ongoing support (PE2.2)</v>
      </c>
      <c r="D772" s="22" t="str">
        <f>'Costing inputs'!$U$376</f>
        <v>Central level</v>
      </c>
      <c r="E772" s="22" t="str">
        <f>'Regional splits'!$D$14</f>
        <v>Copperbelt</v>
      </c>
      <c r="F772">
        <v>0</v>
      </c>
      <c r="G772">
        <v>0</v>
      </c>
      <c r="H772">
        <v>0</v>
      </c>
      <c r="I772">
        <v>0</v>
      </c>
      <c r="J772">
        <v>0</v>
      </c>
      <c r="K772">
        <v>0</v>
      </c>
      <c r="L772">
        <v>0</v>
      </c>
      <c r="M772">
        <v>0</v>
      </c>
      <c r="N772">
        <v>0</v>
      </c>
      <c r="O772">
        <v>0</v>
      </c>
      <c r="P772" s="5">
        <f t="shared" ref="P772:P835" si="134">SUMIF(F772:O772,"&lt;&gt;#N/A")</f>
        <v>0</v>
      </c>
      <c r="Q772">
        <f t="shared" ref="Q772:Q835" si="135">IF(ISNA(F772),0,F772)</f>
        <v>0</v>
      </c>
      <c r="R772">
        <f t="shared" ref="R772:R835" si="136">IF(ISNA(G772),0,G772)</f>
        <v>0</v>
      </c>
      <c r="S772">
        <f t="shared" ref="S772:S835" si="137">IF(ISNA(H772),0,H772)</f>
        <v>0</v>
      </c>
      <c r="T772">
        <f t="shared" ref="T772:T835" si="138">IF(ISNA(I772),0,I772)</f>
        <v>0</v>
      </c>
      <c r="U772">
        <f t="shared" ref="U772:U835" si="139">IF(ISNA(J772),0,J772)</f>
        <v>0</v>
      </c>
      <c r="V772">
        <f t="shared" ref="V772:V835" si="140">IF(ISNA(K772),0,K772)</f>
        <v>0</v>
      </c>
      <c r="W772">
        <f t="shared" ref="W772:W835" si="141">IF(ISNA(L772),0,L772)</f>
        <v>0</v>
      </c>
      <c r="X772">
        <f t="shared" ref="X772:X835" si="142">IF(ISNA(M772),0,M772)</f>
        <v>0</v>
      </c>
      <c r="Y772">
        <f t="shared" ref="Y772:Y835" si="143">IF(ISNA(N772),0,N772)</f>
        <v>0</v>
      </c>
      <c r="Z772">
        <f t="shared" ref="Z772:Z835" si="144">IF(ISNA(O772),0,O772)</f>
        <v>0</v>
      </c>
      <c r="AA772" t="str">
        <f>INDEX('Priority activities'!$D$5:$D$86,MATCH('Database for analysis'!C772,'Priority activities'!$C$5:$C$86,0))</f>
        <v>n/a</v>
      </c>
    </row>
    <row r="773" spans="2:27" ht="16.5" thickTop="1" thickBot="1" x14ac:dyDescent="0.3">
      <c r="B773" t="s">
        <v>263</v>
      </c>
      <c r="C773" s="22" t="str">
        <f>'Costing inputs'!$C$376</f>
        <v>Consortium of FP advocates -ongoing support (PE2.2)</v>
      </c>
      <c r="D773" s="22" t="str">
        <f>'Costing inputs'!$U$376</f>
        <v>Central level</v>
      </c>
      <c r="E773" s="22" t="str">
        <f>'Regional splits'!$E$14</f>
        <v>Eastern</v>
      </c>
      <c r="F773">
        <v>0</v>
      </c>
      <c r="G773">
        <v>0</v>
      </c>
      <c r="H773">
        <v>0</v>
      </c>
      <c r="I773">
        <v>0</v>
      </c>
      <c r="J773">
        <v>0</v>
      </c>
      <c r="K773">
        <v>0</v>
      </c>
      <c r="L773">
        <v>0</v>
      </c>
      <c r="M773">
        <v>0</v>
      </c>
      <c r="N773">
        <v>0</v>
      </c>
      <c r="O773">
        <v>0</v>
      </c>
      <c r="P773" s="5">
        <f t="shared" si="134"/>
        <v>0</v>
      </c>
      <c r="Q773">
        <f t="shared" si="135"/>
        <v>0</v>
      </c>
      <c r="R773">
        <f t="shared" si="136"/>
        <v>0</v>
      </c>
      <c r="S773">
        <f t="shared" si="137"/>
        <v>0</v>
      </c>
      <c r="T773">
        <f t="shared" si="138"/>
        <v>0</v>
      </c>
      <c r="U773">
        <f t="shared" si="139"/>
        <v>0</v>
      </c>
      <c r="V773">
        <f t="shared" si="140"/>
        <v>0</v>
      </c>
      <c r="W773">
        <f t="shared" si="141"/>
        <v>0</v>
      </c>
      <c r="X773">
        <f t="shared" si="142"/>
        <v>0</v>
      </c>
      <c r="Y773">
        <f t="shared" si="143"/>
        <v>0</v>
      </c>
      <c r="Z773">
        <f t="shared" si="144"/>
        <v>0</v>
      </c>
      <c r="AA773" t="str">
        <f>INDEX('Priority activities'!$D$5:$D$86,MATCH('Database for analysis'!C773,'Priority activities'!$C$5:$C$86,0))</f>
        <v>n/a</v>
      </c>
    </row>
    <row r="774" spans="2:27" ht="16.5" thickTop="1" thickBot="1" x14ac:dyDescent="0.3">
      <c r="B774" t="s">
        <v>263</v>
      </c>
      <c r="C774" s="22" t="str">
        <f>'Costing inputs'!$C$376</f>
        <v>Consortium of FP advocates -ongoing support (PE2.2)</v>
      </c>
      <c r="D774" s="22" t="str">
        <f>'Costing inputs'!$U$376</f>
        <v>Central level</v>
      </c>
      <c r="E774" s="22" t="str">
        <f>'Regional splits'!$F$14</f>
        <v>Luapula</v>
      </c>
      <c r="F774">
        <v>0</v>
      </c>
      <c r="G774">
        <v>0</v>
      </c>
      <c r="H774">
        <v>0</v>
      </c>
      <c r="I774">
        <v>0</v>
      </c>
      <c r="J774">
        <v>0</v>
      </c>
      <c r="K774">
        <v>0</v>
      </c>
      <c r="L774">
        <v>0</v>
      </c>
      <c r="M774">
        <v>0</v>
      </c>
      <c r="N774">
        <v>0</v>
      </c>
      <c r="O774">
        <v>0</v>
      </c>
      <c r="P774" s="5">
        <f t="shared" si="134"/>
        <v>0</v>
      </c>
      <c r="Q774">
        <f t="shared" si="135"/>
        <v>0</v>
      </c>
      <c r="R774">
        <f t="shared" si="136"/>
        <v>0</v>
      </c>
      <c r="S774">
        <f t="shared" si="137"/>
        <v>0</v>
      </c>
      <c r="T774">
        <f t="shared" si="138"/>
        <v>0</v>
      </c>
      <c r="U774">
        <f t="shared" si="139"/>
        <v>0</v>
      </c>
      <c r="V774">
        <f t="shared" si="140"/>
        <v>0</v>
      </c>
      <c r="W774">
        <f t="shared" si="141"/>
        <v>0</v>
      </c>
      <c r="X774">
        <f t="shared" si="142"/>
        <v>0</v>
      </c>
      <c r="Y774">
        <f t="shared" si="143"/>
        <v>0</v>
      </c>
      <c r="Z774">
        <f t="shared" si="144"/>
        <v>0</v>
      </c>
      <c r="AA774" t="str">
        <f>INDEX('Priority activities'!$D$5:$D$86,MATCH('Database for analysis'!C774,'Priority activities'!$C$5:$C$86,0))</f>
        <v>n/a</v>
      </c>
    </row>
    <row r="775" spans="2:27" ht="16.5" thickTop="1" thickBot="1" x14ac:dyDescent="0.3">
      <c r="B775" t="s">
        <v>263</v>
      </c>
      <c r="C775" s="22" t="str">
        <f>'Costing inputs'!$C$376</f>
        <v>Consortium of FP advocates -ongoing support (PE2.2)</v>
      </c>
      <c r="D775" s="22" t="str">
        <f>'Costing inputs'!$U$376</f>
        <v>Central level</v>
      </c>
      <c r="E775" s="22" t="str">
        <f>'Regional splits'!$G$14</f>
        <v>Lusaka</v>
      </c>
      <c r="F775">
        <v>0</v>
      </c>
      <c r="G775">
        <v>0</v>
      </c>
      <c r="H775">
        <v>0</v>
      </c>
      <c r="I775">
        <v>0</v>
      </c>
      <c r="J775">
        <v>0</v>
      </c>
      <c r="K775">
        <v>0</v>
      </c>
      <c r="L775">
        <v>0</v>
      </c>
      <c r="M775">
        <v>0</v>
      </c>
      <c r="N775">
        <v>0</v>
      </c>
      <c r="O775">
        <v>0</v>
      </c>
      <c r="P775" s="5">
        <f t="shared" si="134"/>
        <v>0</v>
      </c>
      <c r="Q775">
        <f t="shared" si="135"/>
        <v>0</v>
      </c>
      <c r="R775">
        <f t="shared" si="136"/>
        <v>0</v>
      </c>
      <c r="S775">
        <f t="shared" si="137"/>
        <v>0</v>
      </c>
      <c r="T775">
        <f t="shared" si="138"/>
        <v>0</v>
      </c>
      <c r="U775">
        <f t="shared" si="139"/>
        <v>0</v>
      </c>
      <c r="V775">
        <f t="shared" si="140"/>
        <v>0</v>
      </c>
      <c r="W775">
        <f t="shared" si="141"/>
        <v>0</v>
      </c>
      <c r="X775">
        <f t="shared" si="142"/>
        <v>0</v>
      </c>
      <c r="Y775">
        <f t="shared" si="143"/>
        <v>0</v>
      </c>
      <c r="Z775">
        <f t="shared" si="144"/>
        <v>0</v>
      </c>
      <c r="AA775" t="str">
        <f>INDEX('Priority activities'!$D$5:$D$86,MATCH('Database for analysis'!C775,'Priority activities'!$C$5:$C$86,0))</f>
        <v>n/a</v>
      </c>
    </row>
    <row r="776" spans="2:27" ht="16.5" thickTop="1" thickBot="1" x14ac:dyDescent="0.3">
      <c r="B776" t="s">
        <v>263</v>
      </c>
      <c r="C776" s="22" t="str">
        <f>'Costing inputs'!$C$376</f>
        <v>Consortium of FP advocates -ongoing support (PE2.2)</v>
      </c>
      <c r="D776" s="22" t="str">
        <f>'Costing inputs'!$U$376</f>
        <v>Central level</v>
      </c>
      <c r="E776" s="22" t="str">
        <f>'Regional splits'!$H$14</f>
        <v>Muchinga</v>
      </c>
      <c r="F776">
        <v>0</v>
      </c>
      <c r="G776">
        <v>0</v>
      </c>
      <c r="H776">
        <v>0</v>
      </c>
      <c r="I776">
        <v>0</v>
      </c>
      <c r="J776">
        <v>0</v>
      </c>
      <c r="K776">
        <v>0</v>
      </c>
      <c r="L776">
        <v>0</v>
      </c>
      <c r="M776">
        <v>0</v>
      </c>
      <c r="N776">
        <v>0</v>
      </c>
      <c r="O776">
        <v>0</v>
      </c>
      <c r="P776" s="5">
        <f t="shared" si="134"/>
        <v>0</v>
      </c>
      <c r="Q776">
        <f t="shared" si="135"/>
        <v>0</v>
      </c>
      <c r="R776">
        <f t="shared" si="136"/>
        <v>0</v>
      </c>
      <c r="S776">
        <f t="shared" si="137"/>
        <v>0</v>
      </c>
      <c r="T776">
        <f t="shared" si="138"/>
        <v>0</v>
      </c>
      <c r="U776">
        <f t="shared" si="139"/>
        <v>0</v>
      </c>
      <c r="V776">
        <f t="shared" si="140"/>
        <v>0</v>
      </c>
      <c r="W776">
        <f t="shared" si="141"/>
        <v>0</v>
      </c>
      <c r="X776">
        <f t="shared" si="142"/>
        <v>0</v>
      </c>
      <c r="Y776">
        <f t="shared" si="143"/>
        <v>0</v>
      </c>
      <c r="Z776">
        <f t="shared" si="144"/>
        <v>0</v>
      </c>
      <c r="AA776" t="str">
        <f>INDEX('Priority activities'!$D$5:$D$86,MATCH('Database for analysis'!C776,'Priority activities'!$C$5:$C$86,0))</f>
        <v>n/a</v>
      </c>
    </row>
    <row r="777" spans="2:27" ht="16.5" thickTop="1" thickBot="1" x14ac:dyDescent="0.3">
      <c r="B777" t="s">
        <v>263</v>
      </c>
      <c r="C777" s="22" t="str">
        <f>'Costing inputs'!$C$376</f>
        <v>Consortium of FP advocates -ongoing support (PE2.2)</v>
      </c>
      <c r="D777" s="22" t="str">
        <f>'Costing inputs'!$U$376</f>
        <v>Central level</v>
      </c>
      <c r="E777" s="22" t="str">
        <f>'Regional splits'!$I$14</f>
        <v>Northern</v>
      </c>
      <c r="F777">
        <v>0</v>
      </c>
      <c r="G777">
        <v>0</v>
      </c>
      <c r="H777">
        <v>0</v>
      </c>
      <c r="I777">
        <v>0</v>
      </c>
      <c r="J777">
        <v>0</v>
      </c>
      <c r="K777">
        <v>0</v>
      </c>
      <c r="L777">
        <v>0</v>
      </c>
      <c r="M777">
        <v>0</v>
      </c>
      <c r="N777">
        <v>0</v>
      </c>
      <c r="O777">
        <v>0</v>
      </c>
      <c r="P777" s="5">
        <f t="shared" si="134"/>
        <v>0</v>
      </c>
      <c r="Q777">
        <f t="shared" si="135"/>
        <v>0</v>
      </c>
      <c r="R777">
        <f t="shared" si="136"/>
        <v>0</v>
      </c>
      <c r="S777">
        <f t="shared" si="137"/>
        <v>0</v>
      </c>
      <c r="T777">
        <f t="shared" si="138"/>
        <v>0</v>
      </c>
      <c r="U777">
        <f t="shared" si="139"/>
        <v>0</v>
      </c>
      <c r="V777">
        <f t="shared" si="140"/>
        <v>0</v>
      </c>
      <c r="W777">
        <f t="shared" si="141"/>
        <v>0</v>
      </c>
      <c r="X777">
        <f t="shared" si="142"/>
        <v>0</v>
      </c>
      <c r="Y777">
        <f t="shared" si="143"/>
        <v>0</v>
      </c>
      <c r="Z777">
        <f t="shared" si="144"/>
        <v>0</v>
      </c>
      <c r="AA777" t="str">
        <f>INDEX('Priority activities'!$D$5:$D$86,MATCH('Database for analysis'!C777,'Priority activities'!$C$5:$C$86,0))</f>
        <v>n/a</v>
      </c>
    </row>
    <row r="778" spans="2:27" ht="16.5" thickTop="1" thickBot="1" x14ac:dyDescent="0.3">
      <c r="B778" t="s">
        <v>263</v>
      </c>
      <c r="C778" s="22" t="str">
        <f>'Costing inputs'!$C$376</f>
        <v>Consortium of FP advocates -ongoing support (PE2.2)</v>
      </c>
      <c r="D778" s="22" t="str">
        <f>'Costing inputs'!$U$376</f>
        <v>Central level</v>
      </c>
      <c r="E778" s="22" t="str">
        <f>'Regional splits'!$J$14</f>
        <v>North Western</v>
      </c>
      <c r="F778">
        <v>0</v>
      </c>
      <c r="G778">
        <v>0</v>
      </c>
      <c r="H778">
        <v>0</v>
      </c>
      <c r="I778">
        <v>0</v>
      </c>
      <c r="J778">
        <v>0</v>
      </c>
      <c r="K778">
        <v>0</v>
      </c>
      <c r="L778">
        <v>0</v>
      </c>
      <c r="M778">
        <v>0</v>
      </c>
      <c r="N778">
        <v>0</v>
      </c>
      <c r="O778">
        <v>0</v>
      </c>
      <c r="P778" s="5">
        <f t="shared" si="134"/>
        <v>0</v>
      </c>
      <c r="Q778">
        <f t="shared" si="135"/>
        <v>0</v>
      </c>
      <c r="R778">
        <f t="shared" si="136"/>
        <v>0</v>
      </c>
      <c r="S778">
        <f t="shared" si="137"/>
        <v>0</v>
      </c>
      <c r="T778">
        <f t="shared" si="138"/>
        <v>0</v>
      </c>
      <c r="U778">
        <f t="shared" si="139"/>
        <v>0</v>
      </c>
      <c r="V778">
        <f t="shared" si="140"/>
        <v>0</v>
      </c>
      <c r="W778">
        <f t="shared" si="141"/>
        <v>0</v>
      </c>
      <c r="X778">
        <f t="shared" si="142"/>
        <v>0</v>
      </c>
      <c r="Y778">
        <f t="shared" si="143"/>
        <v>0</v>
      </c>
      <c r="Z778">
        <f t="shared" si="144"/>
        <v>0</v>
      </c>
      <c r="AA778" t="str">
        <f>INDEX('Priority activities'!$D$5:$D$86,MATCH('Database for analysis'!C778,'Priority activities'!$C$5:$C$86,0))</f>
        <v>n/a</v>
      </c>
    </row>
    <row r="779" spans="2:27" ht="16.5" thickTop="1" thickBot="1" x14ac:dyDescent="0.3">
      <c r="B779" t="s">
        <v>263</v>
      </c>
      <c r="C779" s="22" t="str">
        <f>'Costing inputs'!$C$376</f>
        <v>Consortium of FP advocates -ongoing support (PE2.2)</v>
      </c>
      <c r="D779" s="22" t="str">
        <f>'Costing inputs'!$U$376</f>
        <v>Central level</v>
      </c>
      <c r="E779" s="22" t="str">
        <f>'Regional splits'!$K$14</f>
        <v>Southern</v>
      </c>
      <c r="F779">
        <v>0</v>
      </c>
      <c r="G779">
        <v>0</v>
      </c>
      <c r="H779">
        <v>0</v>
      </c>
      <c r="I779">
        <v>0</v>
      </c>
      <c r="J779">
        <v>0</v>
      </c>
      <c r="K779">
        <v>0</v>
      </c>
      <c r="L779">
        <v>0</v>
      </c>
      <c r="M779">
        <v>0</v>
      </c>
      <c r="N779">
        <v>0</v>
      </c>
      <c r="O779">
        <v>0</v>
      </c>
      <c r="P779" s="5">
        <f t="shared" si="134"/>
        <v>0</v>
      </c>
      <c r="Q779">
        <f t="shared" si="135"/>
        <v>0</v>
      </c>
      <c r="R779">
        <f t="shared" si="136"/>
        <v>0</v>
      </c>
      <c r="S779">
        <f t="shared" si="137"/>
        <v>0</v>
      </c>
      <c r="T779">
        <f t="shared" si="138"/>
        <v>0</v>
      </c>
      <c r="U779">
        <f t="shared" si="139"/>
        <v>0</v>
      </c>
      <c r="V779">
        <f t="shared" si="140"/>
        <v>0</v>
      </c>
      <c r="W779">
        <f t="shared" si="141"/>
        <v>0</v>
      </c>
      <c r="X779">
        <f t="shared" si="142"/>
        <v>0</v>
      </c>
      <c r="Y779">
        <f t="shared" si="143"/>
        <v>0</v>
      </c>
      <c r="Z779">
        <f t="shared" si="144"/>
        <v>0</v>
      </c>
      <c r="AA779" t="str">
        <f>INDEX('Priority activities'!$D$5:$D$86,MATCH('Database for analysis'!C779,'Priority activities'!$C$5:$C$86,0))</f>
        <v>n/a</v>
      </c>
    </row>
    <row r="780" spans="2:27" ht="16.5" thickTop="1" thickBot="1" x14ac:dyDescent="0.3">
      <c r="B780" t="s">
        <v>263</v>
      </c>
      <c r="C780" s="22" t="str">
        <f>'Costing inputs'!$C$376</f>
        <v>Consortium of FP advocates -ongoing support (PE2.2)</v>
      </c>
      <c r="D780" s="22" t="str">
        <f>'Costing inputs'!$U$376</f>
        <v>Central level</v>
      </c>
      <c r="E780" s="22" t="str">
        <f>'Regional splits'!$L$14</f>
        <v>Western</v>
      </c>
      <c r="F780">
        <v>0</v>
      </c>
      <c r="G780">
        <v>0</v>
      </c>
      <c r="H780">
        <v>0</v>
      </c>
      <c r="I780">
        <v>0</v>
      </c>
      <c r="J780">
        <v>0</v>
      </c>
      <c r="K780">
        <v>0</v>
      </c>
      <c r="L780">
        <v>0</v>
      </c>
      <c r="M780">
        <v>0</v>
      </c>
      <c r="N780">
        <v>0</v>
      </c>
      <c r="O780">
        <v>0</v>
      </c>
      <c r="P780" s="5">
        <f t="shared" si="134"/>
        <v>0</v>
      </c>
      <c r="Q780">
        <f t="shared" si="135"/>
        <v>0</v>
      </c>
      <c r="R780">
        <f t="shared" si="136"/>
        <v>0</v>
      </c>
      <c r="S780">
        <f t="shared" si="137"/>
        <v>0</v>
      </c>
      <c r="T780">
        <f t="shared" si="138"/>
        <v>0</v>
      </c>
      <c r="U780">
        <f t="shared" si="139"/>
        <v>0</v>
      </c>
      <c r="V780">
        <f t="shared" si="140"/>
        <v>0</v>
      </c>
      <c r="W780">
        <f t="shared" si="141"/>
        <v>0</v>
      </c>
      <c r="X780">
        <f t="shared" si="142"/>
        <v>0</v>
      </c>
      <c r="Y780">
        <f t="shared" si="143"/>
        <v>0</v>
      </c>
      <c r="Z780">
        <f t="shared" si="144"/>
        <v>0</v>
      </c>
      <c r="AA780" t="str">
        <f>INDEX('Priority activities'!$D$5:$D$86,MATCH('Database for analysis'!C780,'Priority activities'!$C$5:$C$86,0))</f>
        <v>n/a</v>
      </c>
    </row>
    <row r="781" spans="2:27" ht="16.5" thickTop="1" thickBot="1" x14ac:dyDescent="0.3">
      <c r="B781" t="s">
        <v>263</v>
      </c>
      <c r="C781" s="22" t="str">
        <f>'Costing inputs'!$C$376</f>
        <v>Consortium of FP advocates -ongoing support (PE2.2)</v>
      </c>
      <c r="D781" s="22" t="str">
        <f>'Costing inputs'!$U$376</f>
        <v>Central level</v>
      </c>
      <c r="E781" s="22">
        <f>'Regional splits'!$M$14</f>
        <v>0</v>
      </c>
      <c r="F781">
        <v>0</v>
      </c>
      <c r="G781">
        <v>0</v>
      </c>
      <c r="H781">
        <v>0</v>
      </c>
      <c r="I781">
        <v>0</v>
      </c>
      <c r="J781">
        <v>0</v>
      </c>
      <c r="K781">
        <v>0</v>
      </c>
      <c r="L781">
        <v>0</v>
      </c>
      <c r="M781">
        <v>0</v>
      </c>
      <c r="N781">
        <v>0</v>
      </c>
      <c r="O781">
        <v>0</v>
      </c>
      <c r="P781" s="5">
        <f t="shared" si="134"/>
        <v>0</v>
      </c>
      <c r="Q781">
        <f t="shared" si="135"/>
        <v>0</v>
      </c>
      <c r="R781">
        <f t="shared" si="136"/>
        <v>0</v>
      </c>
      <c r="S781">
        <f t="shared" si="137"/>
        <v>0</v>
      </c>
      <c r="T781">
        <f t="shared" si="138"/>
        <v>0</v>
      </c>
      <c r="U781">
        <f t="shared" si="139"/>
        <v>0</v>
      </c>
      <c r="V781">
        <f t="shared" si="140"/>
        <v>0</v>
      </c>
      <c r="W781">
        <f t="shared" si="141"/>
        <v>0</v>
      </c>
      <c r="X781">
        <f t="shared" si="142"/>
        <v>0</v>
      </c>
      <c r="Y781">
        <f t="shared" si="143"/>
        <v>0</v>
      </c>
      <c r="Z781">
        <f t="shared" si="144"/>
        <v>0</v>
      </c>
      <c r="AA781" t="str">
        <f>INDEX('Priority activities'!$D$5:$D$86,MATCH('Database for analysis'!C781,'Priority activities'!$C$5:$C$86,0))</f>
        <v>n/a</v>
      </c>
    </row>
    <row r="782" spans="2:27" ht="16.5" thickTop="1" thickBot="1" x14ac:dyDescent="0.3">
      <c r="B782" t="s">
        <v>263</v>
      </c>
      <c r="C782" s="22" t="str">
        <f>'Costing inputs'!$C$376</f>
        <v>Consortium of FP advocates -ongoing support (PE2.2)</v>
      </c>
      <c r="D782" s="22" t="str">
        <f>'Costing inputs'!$U$376</f>
        <v>Central level</v>
      </c>
      <c r="E782" s="22">
        <f>'Regional splits'!$N$14</f>
        <v>0</v>
      </c>
      <c r="F782">
        <v>0</v>
      </c>
      <c r="G782">
        <v>0</v>
      </c>
      <c r="H782">
        <v>0</v>
      </c>
      <c r="I782">
        <v>0</v>
      </c>
      <c r="J782">
        <v>0</v>
      </c>
      <c r="K782">
        <v>0</v>
      </c>
      <c r="L782">
        <v>0</v>
      </c>
      <c r="M782">
        <v>0</v>
      </c>
      <c r="N782">
        <v>0</v>
      </c>
      <c r="O782">
        <v>0</v>
      </c>
      <c r="P782" s="5">
        <f t="shared" si="134"/>
        <v>0</v>
      </c>
      <c r="Q782">
        <f t="shared" si="135"/>
        <v>0</v>
      </c>
      <c r="R782">
        <f t="shared" si="136"/>
        <v>0</v>
      </c>
      <c r="S782">
        <f t="shared" si="137"/>
        <v>0</v>
      </c>
      <c r="T782">
        <f t="shared" si="138"/>
        <v>0</v>
      </c>
      <c r="U782">
        <f t="shared" si="139"/>
        <v>0</v>
      </c>
      <c r="V782">
        <f t="shared" si="140"/>
        <v>0</v>
      </c>
      <c r="W782">
        <f t="shared" si="141"/>
        <v>0</v>
      </c>
      <c r="X782">
        <f t="shared" si="142"/>
        <v>0</v>
      </c>
      <c r="Y782">
        <f t="shared" si="143"/>
        <v>0</v>
      </c>
      <c r="Z782">
        <f t="shared" si="144"/>
        <v>0</v>
      </c>
      <c r="AA782" t="str">
        <f>INDEX('Priority activities'!$D$5:$D$86,MATCH('Database for analysis'!C782,'Priority activities'!$C$5:$C$86,0))</f>
        <v>n/a</v>
      </c>
    </row>
    <row r="783" spans="2:27" ht="16.5" thickTop="1" thickBot="1" x14ac:dyDescent="0.3">
      <c r="B783" t="s">
        <v>263</v>
      </c>
      <c r="C783" s="22" t="str">
        <f>'Costing inputs'!$C$376</f>
        <v>Consortium of FP advocates -ongoing support (PE2.2)</v>
      </c>
      <c r="D783" s="22" t="str">
        <f>'Costing inputs'!$U$376</f>
        <v>Central level</v>
      </c>
      <c r="E783" s="22">
        <f>'Regional splits'!$O$14</f>
        <v>0</v>
      </c>
      <c r="F783">
        <v>0</v>
      </c>
      <c r="G783">
        <v>0</v>
      </c>
      <c r="H783">
        <v>0</v>
      </c>
      <c r="I783">
        <v>0</v>
      </c>
      <c r="J783">
        <v>0</v>
      </c>
      <c r="K783">
        <v>0</v>
      </c>
      <c r="L783">
        <v>0</v>
      </c>
      <c r="M783">
        <v>0</v>
      </c>
      <c r="N783">
        <v>0</v>
      </c>
      <c r="O783">
        <v>0</v>
      </c>
      <c r="P783" s="5">
        <f t="shared" si="134"/>
        <v>0</v>
      </c>
      <c r="Q783">
        <f t="shared" si="135"/>
        <v>0</v>
      </c>
      <c r="R783">
        <f t="shared" si="136"/>
        <v>0</v>
      </c>
      <c r="S783">
        <f t="shared" si="137"/>
        <v>0</v>
      </c>
      <c r="T783">
        <f t="shared" si="138"/>
        <v>0</v>
      </c>
      <c r="U783">
        <f t="shared" si="139"/>
        <v>0</v>
      </c>
      <c r="V783">
        <f t="shared" si="140"/>
        <v>0</v>
      </c>
      <c r="W783">
        <f t="shared" si="141"/>
        <v>0</v>
      </c>
      <c r="X783">
        <f t="shared" si="142"/>
        <v>0</v>
      </c>
      <c r="Y783">
        <f t="shared" si="143"/>
        <v>0</v>
      </c>
      <c r="Z783">
        <f t="shared" si="144"/>
        <v>0</v>
      </c>
      <c r="AA783" t="str">
        <f>INDEX('Priority activities'!$D$5:$D$86,MATCH('Database for analysis'!C783,'Priority activities'!$C$5:$C$86,0))</f>
        <v>n/a</v>
      </c>
    </row>
    <row r="784" spans="2:27" ht="16.5" thickTop="1" thickBot="1" x14ac:dyDescent="0.3">
      <c r="B784" t="s">
        <v>263</v>
      </c>
      <c r="C784" s="22" t="str">
        <f>'Costing inputs'!$C$376</f>
        <v>Consortium of FP advocates -ongoing support (PE2.2)</v>
      </c>
      <c r="D784" s="22" t="str">
        <f>'Costing inputs'!$U$376</f>
        <v>Central level</v>
      </c>
      <c r="E784" s="22">
        <f>'Regional splits'!$P$14</f>
        <v>0</v>
      </c>
      <c r="F784">
        <v>0</v>
      </c>
      <c r="G784">
        <v>0</v>
      </c>
      <c r="H784">
        <v>0</v>
      </c>
      <c r="I784">
        <v>0</v>
      </c>
      <c r="J784">
        <v>0</v>
      </c>
      <c r="K784">
        <v>0</v>
      </c>
      <c r="L784">
        <v>0</v>
      </c>
      <c r="M784">
        <v>0</v>
      </c>
      <c r="N784">
        <v>0</v>
      </c>
      <c r="O784">
        <v>0</v>
      </c>
      <c r="P784" s="5">
        <f t="shared" si="134"/>
        <v>0</v>
      </c>
      <c r="Q784">
        <f t="shared" si="135"/>
        <v>0</v>
      </c>
      <c r="R784">
        <f t="shared" si="136"/>
        <v>0</v>
      </c>
      <c r="S784">
        <f t="shared" si="137"/>
        <v>0</v>
      </c>
      <c r="T784">
        <f t="shared" si="138"/>
        <v>0</v>
      </c>
      <c r="U784">
        <f t="shared" si="139"/>
        <v>0</v>
      </c>
      <c r="V784">
        <f t="shared" si="140"/>
        <v>0</v>
      </c>
      <c r="W784">
        <f t="shared" si="141"/>
        <v>0</v>
      </c>
      <c r="X784">
        <f t="shared" si="142"/>
        <v>0</v>
      </c>
      <c r="Y784">
        <f t="shared" si="143"/>
        <v>0</v>
      </c>
      <c r="Z784">
        <f t="shared" si="144"/>
        <v>0</v>
      </c>
      <c r="AA784" t="str">
        <f>INDEX('Priority activities'!$D$5:$D$86,MATCH('Database for analysis'!C784,'Priority activities'!$C$5:$C$86,0))</f>
        <v>n/a</v>
      </c>
    </row>
    <row r="785" spans="2:27" ht="16.5" thickTop="1" thickBot="1" x14ac:dyDescent="0.3">
      <c r="B785" t="s">
        <v>263</v>
      </c>
      <c r="C785" s="22" t="str">
        <f>'Costing inputs'!$C$376</f>
        <v>Consortium of FP advocates -ongoing support (PE2.2)</v>
      </c>
      <c r="D785" s="22" t="str">
        <f>'Costing inputs'!$U$376</f>
        <v>Central level</v>
      </c>
      <c r="E785" s="22">
        <f>'Regional splits'!$Q$14</f>
        <v>0</v>
      </c>
      <c r="F785">
        <v>0</v>
      </c>
      <c r="G785">
        <v>0</v>
      </c>
      <c r="H785">
        <v>0</v>
      </c>
      <c r="I785">
        <v>0</v>
      </c>
      <c r="J785">
        <v>0</v>
      </c>
      <c r="K785">
        <v>0</v>
      </c>
      <c r="L785">
        <v>0</v>
      </c>
      <c r="M785">
        <v>0</v>
      </c>
      <c r="N785">
        <v>0</v>
      </c>
      <c r="O785">
        <v>0</v>
      </c>
      <c r="P785" s="5">
        <f t="shared" si="134"/>
        <v>0</v>
      </c>
      <c r="Q785">
        <f t="shared" si="135"/>
        <v>0</v>
      </c>
      <c r="R785">
        <f t="shared" si="136"/>
        <v>0</v>
      </c>
      <c r="S785">
        <f t="shared" si="137"/>
        <v>0</v>
      </c>
      <c r="T785">
        <f t="shared" si="138"/>
        <v>0</v>
      </c>
      <c r="U785">
        <f t="shared" si="139"/>
        <v>0</v>
      </c>
      <c r="V785">
        <f t="shared" si="140"/>
        <v>0</v>
      </c>
      <c r="W785">
        <f t="shared" si="141"/>
        <v>0</v>
      </c>
      <c r="X785">
        <f t="shared" si="142"/>
        <v>0</v>
      </c>
      <c r="Y785">
        <f t="shared" si="143"/>
        <v>0</v>
      </c>
      <c r="Z785">
        <f t="shared" si="144"/>
        <v>0</v>
      </c>
      <c r="AA785" t="str">
        <f>INDEX('Priority activities'!$D$5:$D$86,MATCH('Database for analysis'!C785,'Priority activities'!$C$5:$C$86,0))</f>
        <v>n/a</v>
      </c>
    </row>
    <row r="786" spans="2:27" ht="16.5" thickTop="1" thickBot="1" x14ac:dyDescent="0.3">
      <c r="B786" t="s">
        <v>263</v>
      </c>
      <c r="C786" s="22" t="str">
        <f>'Costing inputs'!$C$376</f>
        <v>Consortium of FP advocates -ongoing support (PE2.2)</v>
      </c>
      <c r="D786" s="22" t="str">
        <f>'Costing inputs'!$U$376</f>
        <v>Central level</v>
      </c>
      <c r="E786" s="22" t="str">
        <f>'Regional splits'!$R$14</f>
        <v>National-level</v>
      </c>
      <c r="F786">
        <v>0</v>
      </c>
      <c r="G786">
        <v>53555.152000000002</v>
      </c>
      <c r="H786">
        <v>53555.152000000002</v>
      </c>
      <c r="I786">
        <v>53555.152000000002</v>
      </c>
      <c r="J786">
        <v>53555.152000000002</v>
      </c>
      <c r="K786">
        <v>53555.152000000002</v>
      </c>
      <c r="L786">
        <v>53555.152000000002</v>
      </c>
      <c r="M786">
        <v>53555.152000000002</v>
      </c>
      <c r="N786">
        <v>0</v>
      </c>
      <c r="O786">
        <v>0</v>
      </c>
      <c r="P786" s="5">
        <f t="shared" si="134"/>
        <v>374886.06400000001</v>
      </c>
      <c r="Q786">
        <f t="shared" si="135"/>
        <v>0</v>
      </c>
      <c r="R786">
        <f t="shared" si="136"/>
        <v>53555.152000000002</v>
      </c>
      <c r="S786">
        <f t="shared" si="137"/>
        <v>53555.152000000002</v>
      </c>
      <c r="T786">
        <f t="shared" si="138"/>
        <v>53555.152000000002</v>
      </c>
      <c r="U786">
        <f t="shared" si="139"/>
        <v>53555.152000000002</v>
      </c>
      <c r="V786">
        <f t="shared" si="140"/>
        <v>53555.152000000002</v>
      </c>
      <c r="W786">
        <f t="shared" si="141"/>
        <v>53555.152000000002</v>
      </c>
      <c r="X786">
        <f t="shared" si="142"/>
        <v>53555.152000000002</v>
      </c>
      <c r="Y786">
        <f t="shared" si="143"/>
        <v>0</v>
      </c>
      <c r="Z786">
        <f t="shared" si="144"/>
        <v>0</v>
      </c>
      <c r="AA786" t="str">
        <f>INDEX('Priority activities'!$D$5:$D$86,MATCH('Database for analysis'!C786,'Priority activities'!$C$5:$C$86,0))</f>
        <v>n/a</v>
      </c>
    </row>
    <row r="787" spans="2:27" ht="16.5" thickTop="1" thickBot="1" x14ac:dyDescent="0.3">
      <c r="B787" t="s">
        <v>263</v>
      </c>
      <c r="C787" s="22" t="str">
        <f>'Costing inputs'!$C$381</f>
        <v>Consortium of FP advocates - training (PE2.1)</v>
      </c>
      <c r="D787" s="22" t="str">
        <f>'Costing inputs'!$U$381</f>
        <v>Central level</v>
      </c>
      <c r="E787" s="22" t="str">
        <f>'Regional splits'!$C$14</f>
        <v>Central</v>
      </c>
      <c r="F787">
        <f t="array" ref="F787:O802">'Costing inputs'!S381*'Costing inputs'!AP381:AY381*TRANSPOSE('Costing inputs'!W381:AL381)</f>
        <v>0</v>
      </c>
      <c r="G787">
        <v>0</v>
      </c>
      <c r="H787">
        <v>0</v>
      </c>
      <c r="I787">
        <v>0</v>
      </c>
      <c r="J787">
        <v>0</v>
      </c>
      <c r="K787">
        <v>0</v>
      </c>
      <c r="L787">
        <v>0</v>
      </c>
      <c r="M787">
        <v>0</v>
      </c>
      <c r="N787">
        <v>0</v>
      </c>
      <c r="O787">
        <v>0</v>
      </c>
      <c r="P787" s="5">
        <f t="shared" si="134"/>
        <v>0</v>
      </c>
      <c r="Q787">
        <f t="shared" si="135"/>
        <v>0</v>
      </c>
      <c r="R787">
        <f t="shared" si="136"/>
        <v>0</v>
      </c>
      <c r="S787">
        <f t="shared" si="137"/>
        <v>0</v>
      </c>
      <c r="T787">
        <f t="shared" si="138"/>
        <v>0</v>
      </c>
      <c r="U787">
        <f t="shared" si="139"/>
        <v>0</v>
      </c>
      <c r="V787">
        <f t="shared" si="140"/>
        <v>0</v>
      </c>
      <c r="W787">
        <f t="shared" si="141"/>
        <v>0</v>
      </c>
      <c r="X787">
        <f t="shared" si="142"/>
        <v>0</v>
      </c>
      <c r="Y787">
        <f t="shared" si="143"/>
        <v>0</v>
      </c>
      <c r="Z787">
        <f t="shared" si="144"/>
        <v>0</v>
      </c>
      <c r="AA787" t="str">
        <f>INDEX('Priority activities'!$D$5:$D$86,MATCH('Database for analysis'!C787,'Priority activities'!$C$5:$C$86,0))</f>
        <v>n/a</v>
      </c>
    </row>
    <row r="788" spans="2:27" ht="16.5" thickTop="1" thickBot="1" x14ac:dyDescent="0.3">
      <c r="B788" t="s">
        <v>263</v>
      </c>
      <c r="C788" s="22" t="str">
        <f>'Costing inputs'!$C$381</f>
        <v>Consortium of FP advocates - training (PE2.1)</v>
      </c>
      <c r="D788" s="22" t="str">
        <f>'Costing inputs'!$U$381</f>
        <v>Central level</v>
      </c>
      <c r="E788" s="22" t="str">
        <f>'Regional splits'!$D$14</f>
        <v>Copperbelt</v>
      </c>
      <c r="F788">
        <v>0</v>
      </c>
      <c r="G788">
        <v>0</v>
      </c>
      <c r="H788">
        <v>0</v>
      </c>
      <c r="I788">
        <v>0</v>
      </c>
      <c r="J788">
        <v>0</v>
      </c>
      <c r="K788">
        <v>0</v>
      </c>
      <c r="L788">
        <v>0</v>
      </c>
      <c r="M788">
        <v>0</v>
      </c>
      <c r="N788">
        <v>0</v>
      </c>
      <c r="O788">
        <v>0</v>
      </c>
      <c r="P788" s="5">
        <f t="shared" si="134"/>
        <v>0</v>
      </c>
      <c r="Q788">
        <f t="shared" si="135"/>
        <v>0</v>
      </c>
      <c r="R788">
        <f t="shared" si="136"/>
        <v>0</v>
      </c>
      <c r="S788">
        <f t="shared" si="137"/>
        <v>0</v>
      </c>
      <c r="T788">
        <f t="shared" si="138"/>
        <v>0</v>
      </c>
      <c r="U788">
        <f t="shared" si="139"/>
        <v>0</v>
      </c>
      <c r="V788">
        <f t="shared" si="140"/>
        <v>0</v>
      </c>
      <c r="W788">
        <f t="shared" si="141"/>
        <v>0</v>
      </c>
      <c r="X788">
        <f t="shared" si="142"/>
        <v>0</v>
      </c>
      <c r="Y788">
        <f t="shared" si="143"/>
        <v>0</v>
      </c>
      <c r="Z788">
        <f t="shared" si="144"/>
        <v>0</v>
      </c>
      <c r="AA788" t="str">
        <f>INDEX('Priority activities'!$D$5:$D$86,MATCH('Database for analysis'!C788,'Priority activities'!$C$5:$C$86,0))</f>
        <v>n/a</v>
      </c>
    </row>
    <row r="789" spans="2:27" ht="16.5" thickTop="1" thickBot="1" x14ac:dyDescent="0.3">
      <c r="B789" t="s">
        <v>263</v>
      </c>
      <c r="C789" s="22" t="str">
        <f>'Costing inputs'!$C$381</f>
        <v>Consortium of FP advocates - training (PE2.1)</v>
      </c>
      <c r="D789" s="22" t="str">
        <f>'Costing inputs'!$U$381</f>
        <v>Central level</v>
      </c>
      <c r="E789" s="22" t="str">
        <f>'Regional splits'!$E$14</f>
        <v>Eastern</v>
      </c>
      <c r="F789">
        <v>0</v>
      </c>
      <c r="G789">
        <v>0</v>
      </c>
      <c r="H789">
        <v>0</v>
      </c>
      <c r="I789">
        <v>0</v>
      </c>
      <c r="J789">
        <v>0</v>
      </c>
      <c r="K789">
        <v>0</v>
      </c>
      <c r="L789">
        <v>0</v>
      </c>
      <c r="M789">
        <v>0</v>
      </c>
      <c r="N789">
        <v>0</v>
      </c>
      <c r="O789">
        <v>0</v>
      </c>
      <c r="P789" s="5">
        <f t="shared" si="134"/>
        <v>0</v>
      </c>
      <c r="Q789">
        <f t="shared" si="135"/>
        <v>0</v>
      </c>
      <c r="R789">
        <f t="shared" si="136"/>
        <v>0</v>
      </c>
      <c r="S789">
        <f t="shared" si="137"/>
        <v>0</v>
      </c>
      <c r="T789">
        <f t="shared" si="138"/>
        <v>0</v>
      </c>
      <c r="U789">
        <f t="shared" si="139"/>
        <v>0</v>
      </c>
      <c r="V789">
        <f t="shared" si="140"/>
        <v>0</v>
      </c>
      <c r="W789">
        <f t="shared" si="141"/>
        <v>0</v>
      </c>
      <c r="X789">
        <f t="shared" si="142"/>
        <v>0</v>
      </c>
      <c r="Y789">
        <f t="shared" si="143"/>
        <v>0</v>
      </c>
      <c r="Z789">
        <f t="shared" si="144"/>
        <v>0</v>
      </c>
      <c r="AA789" t="str">
        <f>INDEX('Priority activities'!$D$5:$D$86,MATCH('Database for analysis'!C789,'Priority activities'!$C$5:$C$86,0))</f>
        <v>n/a</v>
      </c>
    </row>
    <row r="790" spans="2:27" ht="16.5" thickTop="1" thickBot="1" x14ac:dyDescent="0.3">
      <c r="B790" t="s">
        <v>263</v>
      </c>
      <c r="C790" s="22" t="str">
        <f>'Costing inputs'!$C$381</f>
        <v>Consortium of FP advocates - training (PE2.1)</v>
      </c>
      <c r="D790" s="22" t="str">
        <f>'Costing inputs'!$U$381</f>
        <v>Central level</v>
      </c>
      <c r="E790" s="22" t="str">
        <f>'Regional splits'!$F$14</f>
        <v>Luapula</v>
      </c>
      <c r="F790">
        <v>0</v>
      </c>
      <c r="G790">
        <v>0</v>
      </c>
      <c r="H790">
        <v>0</v>
      </c>
      <c r="I790">
        <v>0</v>
      </c>
      <c r="J790">
        <v>0</v>
      </c>
      <c r="K790">
        <v>0</v>
      </c>
      <c r="L790">
        <v>0</v>
      </c>
      <c r="M790">
        <v>0</v>
      </c>
      <c r="N790">
        <v>0</v>
      </c>
      <c r="O790">
        <v>0</v>
      </c>
      <c r="P790" s="5">
        <f t="shared" si="134"/>
        <v>0</v>
      </c>
      <c r="Q790">
        <f t="shared" si="135"/>
        <v>0</v>
      </c>
      <c r="R790">
        <f t="shared" si="136"/>
        <v>0</v>
      </c>
      <c r="S790">
        <f t="shared" si="137"/>
        <v>0</v>
      </c>
      <c r="T790">
        <f t="shared" si="138"/>
        <v>0</v>
      </c>
      <c r="U790">
        <f t="shared" si="139"/>
        <v>0</v>
      </c>
      <c r="V790">
        <f t="shared" si="140"/>
        <v>0</v>
      </c>
      <c r="W790">
        <f t="shared" si="141"/>
        <v>0</v>
      </c>
      <c r="X790">
        <f t="shared" si="142"/>
        <v>0</v>
      </c>
      <c r="Y790">
        <f t="shared" si="143"/>
        <v>0</v>
      </c>
      <c r="Z790">
        <f t="shared" si="144"/>
        <v>0</v>
      </c>
      <c r="AA790" t="str">
        <f>INDEX('Priority activities'!$D$5:$D$86,MATCH('Database for analysis'!C790,'Priority activities'!$C$5:$C$86,0))</f>
        <v>n/a</v>
      </c>
    </row>
    <row r="791" spans="2:27" ht="16.5" thickTop="1" thickBot="1" x14ac:dyDescent="0.3">
      <c r="B791" t="s">
        <v>263</v>
      </c>
      <c r="C791" s="22" t="str">
        <f>'Costing inputs'!$C$381</f>
        <v>Consortium of FP advocates - training (PE2.1)</v>
      </c>
      <c r="D791" s="22" t="str">
        <f>'Costing inputs'!$U$381</f>
        <v>Central level</v>
      </c>
      <c r="E791" s="22" t="str">
        <f>'Regional splits'!$G$14</f>
        <v>Lusaka</v>
      </c>
      <c r="F791">
        <v>0</v>
      </c>
      <c r="G791">
        <v>0</v>
      </c>
      <c r="H791">
        <v>0</v>
      </c>
      <c r="I791">
        <v>0</v>
      </c>
      <c r="J791">
        <v>0</v>
      </c>
      <c r="K791">
        <v>0</v>
      </c>
      <c r="L791">
        <v>0</v>
      </c>
      <c r="M791">
        <v>0</v>
      </c>
      <c r="N791">
        <v>0</v>
      </c>
      <c r="O791">
        <v>0</v>
      </c>
      <c r="P791" s="5">
        <f t="shared" si="134"/>
        <v>0</v>
      </c>
      <c r="Q791">
        <f t="shared" si="135"/>
        <v>0</v>
      </c>
      <c r="R791">
        <f t="shared" si="136"/>
        <v>0</v>
      </c>
      <c r="S791">
        <f t="shared" si="137"/>
        <v>0</v>
      </c>
      <c r="T791">
        <f t="shared" si="138"/>
        <v>0</v>
      </c>
      <c r="U791">
        <f t="shared" si="139"/>
        <v>0</v>
      </c>
      <c r="V791">
        <f t="shared" si="140"/>
        <v>0</v>
      </c>
      <c r="W791">
        <f t="shared" si="141"/>
        <v>0</v>
      </c>
      <c r="X791">
        <f t="shared" si="142"/>
        <v>0</v>
      </c>
      <c r="Y791">
        <f t="shared" si="143"/>
        <v>0</v>
      </c>
      <c r="Z791">
        <f t="shared" si="144"/>
        <v>0</v>
      </c>
      <c r="AA791" t="str">
        <f>INDEX('Priority activities'!$D$5:$D$86,MATCH('Database for analysis'!C791,'Priority activities'!$C$5:$C$86,0))</f>
        <v>n/a</v>
      </c>
    </row>
    <row r="792" spans="2:27" ht="16.5" thickTop="1" thickBot="1" x14ac:dyDescent="0.3">
      <c r="B792" t="s">
        <v>263</v>
      </c>
      <c r="C792" s="22" t="str">
        <f>'Costing inputs'!$C$381</f>
        <v>Consortium of FP advocates - training (PE2.1)</v>
      </c>
      <c r="D792" s="22" t="str">
        <f>'Costing inputs'!$U$381</f>
        <v>Central level</v>
      </c>
      <c r="E792" s="22" t="str">
        <f>'Regional splits'!$H$14</f>
        <v>Muchinga</v>
      </c>
      <c r="F792">
        <v>0</v>
      </c>
      <c r="G792">
        <v>0</v>
      </c>
      <c r="H792">
        <v>0</v>
      </c>
      <c r="I792">
        <v>0</v>
      </c>
      <c r="J792">
        <v>0</v>
      </c>
      <c r="K792">
        <v>0</v>
      </c>
      <c r="L792">
        <v>0</v>
      </c>
      <c r="M792">
        <v>0</v>
      </c>
      <c r="N792">
        <v>0</v>
      </c>
      <c r="O792">
        <v>0</v>
      </c>
      <c r="P792" s="5">
        <f t="shared" si="134"/>
        <v>0</v>
      </c>
      <c r="Q792">
        <f t="shared" si="135"/>
        <v>0</v>
      </c>
      <c r="R792">
        <f t="shared" si="136"/>
        <v>0</v>
      </c>
      <c r="S792">
        <f t="shared" si="137"/>
        <v>0</v>
      </c>
      <c r="T792">
        <f t="shared" si="138"/>
        <v>0</v>
      </c>
      <c r="U792">
        <f t="shared" si="139"/>
        <v>0</v>
      </c>
      <c r="V792">
        <f t="shared" si="140"/>
        <v>0</v>
      </c>
      <c r="W792">
        <f t="shared" si="141"/>
        <v>0</v>
      </c>
      <c r="X792">
        <f t="shared" si="142"/>
        <v>0</v>
      </c>
      <c r="Y792">
        <f t="shared" si="143"/>
        <v>0</v>
      </c>
      <c r="Z792">
        <f t="shared" si="144"/>
        <v>0</v>
      </c>
      <c r="AA792" t="str">
        <f>INDEX('Priority activities'!$D$5:$D$86,MATCH('Database for analysis'!C792,'Priority activities'!$C$5:$C$86,0))</f>
        <v>n/a</v>
      </c>
    </row>
    <row r="793" spans="2:27" ht="16.5" thickTop="1" thickBot="1" x14ac:dyDescent="0.3">
      <c r="B793" t="s">
        <v>263</v>
      </c>
      <c r="C793" s="22" t="str">
        <f>'Costing inputs'!$C$381</f>
        <v>Consortium of FP advocates - training (PE2.1)</v>
      </c>
      <c r="D793" s="22" t="str">
        <f>'Costing inputs'!$U$381</f>
        <v>Central level</v>
      </c>
      <c r="E793" s="22" t="str">
        <f>'Regional splits'!$I$14</f>
        <v>Northern</v>
      </c>
      <c r="F793">
        <v>0</v>
      </c>
      <c r="G793">
        <v>0</v>
      </c>
      <c r="H793">
        <v>0</v>
      </c>
      <c r="I793">
        <v>0</v>
      </c>
      <c r="J793">
        <v>0</v>
      </c>
      <c r="K793">
        <v>0</v>
      </c>
      <c r="L793">
        <v>0</v>
      </c>
      <c r="M793">
        <v>0</v>
      </c>
      <c r="N793">
        <v>0</v>
      </c>
      <c r="O793">
        <v>0</v>
      </c>
      <c r="P793" s="5">
        <f t="shared" si="134"/>
        <v>0</v>
      </c>
      <c r="Q793">
        <f t="shared" si="135"/>
        <v>0</v>
      </c>
      <c r="R793">
        <f t="shared" si="136"/>
        <v>0</v>
      </c>
      <c r="S793">
        <f t="shared" si="137"/>
        <v>0</v>
      </c>
      <c r="T793">
        <f t="shared" si="138"/>
        <v>0</v>
      </c>
      <c r="U793">
        <f t="shared" si="139"/>
        <v>0</v>
      </c>
      <c r="V793">
        <f t="shared" si="140"/>
        <v>0</v>
      </c>
      <c r="W793">
        <f t="shared" si="141"/>
        <v>0</v>
      </c>
      <c r="X793">
        <f t="shared" si="142"/>
        <v>0</v>
      </c>
      <c r="Y793">
        <f t="shared" si="143"/>
        <v>0</v>
      </c>
      <c r="Z793">
        <f t="shared" si="144"/>
        <v>0</v>
      </c>
      <c r="AA793" t="str">
        <f>INDEX('Priority activities'!$D$5:$D$86,MATCH('Database for analysis'!C793,'Priority activities'!$C$5:$C$86,0))</f>
        <v>n/a</v>
      </c>
    </row>
    <row r="794" spans="2:27" ht="16.5" thickTop="1" thickBot="1" x14ac:dyDescent="0.3">
      <c r="B794" t="s">
        <v>263</v>
      </c>
      <c r="C794" s="22" t="str">
        <f>'Costing inputs'!$C$381</f>
        <v>Consortium of FP advocates - training (PE2.1)</v>
      </c>
      <c r="D794" s="22" t="str">
        <f>'Costing inputs'!$U$381</f>
        <v>Central level</v>
      </c>
      <c r="E794" s="22" t="str">
        <f>'Regional splits'!$J$14</f>
        <v>North Western</v>
      </c>
      <c r="F794">
        <v>0</v>
      </c>
      <c r="G794">
        <v>0</v>
      </c>
      <c r="H794">
        <v>0</v>
      </c>
      <c r="I794">
        <v>0</v>
      </c>
      <c r="J794">
        <v>0</v>
      </c>
      <c r="K794">
        <v>0</v>
      </c>
      <c r="L794">
        <v>0</v>
      </c>
      <c r="M794">
        <v>0</v>
      </c>
      <c r="N794">
        <v>0</v>
      </c>
      <c r="O794">
        <v>0</v>
      </c>
      <c r="P794" s="5">
        <f t="shared" si="134"/>
        <v>0</v>
      </c>
      <c r="Q794">
        <f t="shared" si="135"/>
        <v>0</v>
      </c>
      <c r="R794">
        <f t="shared" si="136"/>
        <v>0</v>
      </c>
      <c r="S794">
        <f t="shared" si="137"/>
        <v>0</v>
      </c>
      <c r="T794">
        <f t="shared" si="138"/>
        <v>0</v>
      </c>
      <c r="U794">
        <f t="shared" si="139"/>
        <v>0</v>
      </c>
      <c r="V794">
        <f t="shared" si="140"/>
        <v>0</v>
      </c>
      <c r="W794">
        <f t="shared" si="141"/>
        <v>0</v>
      </c>
      <c r="X794">
        <f t="shared" si="142"/>
        <v>0</v>
      </c>
      <c r="Y794">
        <f t="shared" si="143"/>
        <v>0</v>
      </c>
      <c r="Z794">
        <f t="shared" si="144"/>
        <v>0</v>
      </c>
      <c r="AA794" t="str">
        <f>INDEX('Priority activities'!$D$5:$D$86,MATCH('Database for analysis'!C794,'Priority activities'!$C$5:$C$86,0))</f>
        <v>n/a</v>
      </c>
    </row>
    <row r="795" spans="2:27" ht="16.5" thickTop="1" thickBot="1" x14ac:dyDescent="0.3">
      <c r="B795" t="s">
        <v>263</v>
      </c>
      <c r="C795" s="22" t="str">
        <f>'Costing inputs'!$C$381</f>
        <v>Consortium of FP advocates - training (PE2.1)</v>
      </c>
      <c r="D795" s="22" t="str">
        <f>'Costing inputs'!$U$381</f>
        <v>Central level</v>
      </c>
      <c r="E795" s="22" t="str">
        <f>'Regional splits'!$K$14</f>
        <v>Southern</v>
      </c>
      <c r="F795">
        <v>0</v>
      </c>
      <c r="G795">
        <v>0</v>
      </c>
      <c r="H795">
        <v>0</v>
      </c>
      <c r="I795">
        <v>0</v>
      </c>
      <c r="J795">
        <v>0</v>
      </c>
      <c r="K795">
        <v>0</v>
      </c>
      <c r="L795">
        <v>0</v>
      </c>
      <c r="M795">
        <v>0</v>
      </c>
      <c r="N795">
        <v>0</v>
      </c>
      <c r="O795">
        <v>0</v>
      </c>
      <c r="P795" s="5">
        <f t="shared" si="134"/>
        <v>0</v>
      </c>
      <c r="Q795">
        <f t="shared" si="135"/>
        <v>0</v>
      </c>
      <c r="R795">
        <f t="shared" si="136"/>
        <v>0</v>
      </c>
      <c r="S795">
        <f t="shared" si="137"/>
        <v>0</v>
      </c>
      <c r="T795">
        <f t="shared" si="138"/>
        <v>0</v>
      </c>
      <c r="U795">
        <f t="shared" si="139"/>
        <v>0</v>
      </c>
      <c r="V795">
        <f t="shared" si="140"/>
        <v>0</v>
      </c>
      <c r="W795">
        <f t="shared" si="141"/>
        <v>0</v>
      </c>
      <c r="X795">
        <f t="shared" si="142"/>
        <v>0</v>
      </c>
      <c r="Y795">
        <f t="shared" si="143"/>
        <v>0</v>
      </c>
      <c r="Z795">
        <f t="shared" si="144"/>
        <v>0</v>
      </c>
      <c r="AA795" t="str">
        <f>INDEX('Priority activities'!$D$5:$D$86,MATCH('Database for analysis'!C795,'Priority activities'!$C$5:$C$86,0))</f>
        <v>n/a</v>
      </c>
    </row>
    <row r="796" spans="2:27" ht="16.5" thickTop="1" thickBot="1" x14ac:dyDescent="0.3">
      <c r="B796" t="s">
        <v>263</v>
      </c>
      <c r="C796" s="22" t="str">
        <f>'Costing inputs'!$C$381</f>
        <v>Consortium of FP advocates - training (PE2.1)</v>
      </c>
      <c r="D796" s="22" t="str">
        <f>'Costing inputs'!$U$381</f>
        <v>Central level</v>
      </c>
      <c r="E796" s="22" t="str">
        <f>'Regional splits'!$L$14</f>
        <v>Western</v>
      </c>
      <c r="F796">
        <v>0</v>
      </c>
      <c r="G796">
        <v>0</v>
      </c>
      <c r="H796">
        <v>0</v>
      </c>
      <c r="I796">
        <v>0</v>
      </c>
      <c r="J796">
        <v>0</v>
      </c>
      <c r="K796">
        <v>0</v>
      </c>
      <c r="L796">
        <v>0</v>
      </c>
      <c r="M796">
        <v>0</v>
      </c>
      <c r="N796">
        <v>0</v>
      </c>
      <c r="O796">
        <v>0</v>
      </c>
      <c r="P796" s="5">
        <f t="shared" si="134"/>
        <v>0</v>
      </c>
      <c r="Q796">
        <f t="shared" si="135"/>
        <v>0</v>
      </c>
      <c r="R796">
        <f t="shared" si="136"/>
        <v>0</v>
      </c>
      <c r="S796">
        <f t="shared" si="137"/>
        <v>0</v>
      </c>
      <c r="T796">
        <f t="shared" si="138"/>
        <v>0</v>
      </c>
      <c r="U796">
        <f t="shared" si="139"/>
        <v>0</v>
      </c>
      <c r="V796">
        <f t="shared" si="140"/>
        <v>0</v>
      </c>
      <c r="W796">
        <f t="shared" si="141"/>
        <v>0</v>
      </c>
      <c r="X796">
        <f t="shared" si="142"/>
        <v>0</v>
      </c>
      <c r="Y796">
        <f t="shared" si="143"/>
        <v>0</v>
      </c>
      <c r="Z796">
        <f t="shared" si="144"/>
        <v>0</v>
      </c>
      <c r="AA796" t="str">
        <f>INDEX('Priority activities'!$D$5:$D$86,MATCH('Database for analysis'!C796,'Priority activities'!$C$5:$C$86,0))</f>
        <v>n/a</v>
      </c>
    </row>
    <row r="797" spans="2:27" ht="16.5" thickTop="1" thickBot="1" x14ac:dyDescent="0.3">
      <c r="B797" t="s">
        <v>263</v>
      </c>
      <c r="C797" s="22" t="str">
        <f>'Costing inputs'!$C$381</f>
        <v>Consortium of FP advocates - training (PE2.1)</v>
      </c>
      <c r="D797" s="22" t="str">
        <f>'Costing inputs'!$U$381</f>
        <v>Central level</v>
      </c>
      <c r="E797" s="22">
        <f>'Regional splits'!$M$14</f>
        <v>0</v>
      </c>
      <c r="F797">
        <v>0</v>
      </c>
      <c r="G797">
        <v>0</v>
      </c>
      <c r="H797">
        <v>0</v>
      </c>
      <c r="I797">
        <v>0</v>
      </c>
      <c r="J797">
        <v>0</v>
      </c>
      <c r="K797">
        <v>0</v>
      </c>
      <c r="L797">
        <v>0</v>
      </c>
      <c r="M797">
        <v>0</v>
      </c>
      <c r="N797">
        <v>0</v>
      </c>
      <c r="O797">
        <v>0</v>
      </c>
      <c r="P797" s="5">
        <f t="shared" si="134"/>
        <v>0</v>
      </c>
      <c r="Q797">
        <f t="shared" si="135"/>
        <v>0</v>
      </c>
      <c r="R797">
        <f t="shared" si="136"/>
        <v>0</v>
      </c>
      <c r="S797">
        <f t="shared" si="137"/>
        <v>0</v>
      </c>
      <c r="T797">
        <f t="shared" si="138"/>
        <v>0</v>
      </c>
      <c r="U797">
        <f t="shared" si="139"/>
        <v>0</v>
      </c>
      <c r="V797">
        <f t="shared" si="140"/>
        <v>0</v>
      </c>
      <c r="W797">
        <f t="shared" si="141"/>
        <v>0</v>
      </c>
      <c r="X797">
        <f t="shared" si="142"/>
        <v>0</v>
      </c>
      <c r="Y797">
        <f t="shared" si="143"/>
        <v>0</v>
      </c>
      <c r="Z797">
        <f t="shared" si="144"/>
        <v>0</v>
      </c>
      <c r="AA797" t="str">
        <f>INDEX('Priority activities'!$D$5:$D$86,MATCH('Database for analysis'!C797,'Priority activities'!$C$5:$C$86,0))</f>
        <v>n/a</v>
      </c>
    </row>
    <row r="798" spans="2:27" ht="16.5" thickTop="1" thickBot="1" x14ac:dyDescent="0.3">
      <c r="B798" t="s">
        <v>263</v>
      </c>
      <c r="C798" s="22" t="str">
        <f>'Costing inputs'!$C$381</f>
        <v>Consortium of FP advocates - training (PE2.1)</v>
      </c>
      <c r="D798" s="22" t="str">
        <f>'Costing inputs'!$U$381</f>
        <v>Central level</v>
      </c>
      <c r="E798" s="22">
        <f>'Regional splits'!$N$14</f>
        <v>0</v>
      </c>
      <c r="F798">
        <v>0</v>
      </c>
      <c r="G798">
        <v>0</v>
      </c>
      <c r="H798">
        <v>0</v>
      </c>
      <c r="I798">
        <v>0</v>
      </c>
      <c r="J798">
        <v>0</v>
      </c>
      <c r="K798">
        <v>0</v>
      </c>
      <c r="L798">
        <v>0</v>
      </c>
      <c r="M798">
        <v>0</v>
      </c>
      <c r="N798">
        <v>0</v>
      </c>
      <c r="O798">
        <v>0</v>
      </c>
      <c r="P798" s="5">
        <f t="shared" si="134"/>
        <v>0</v>
      </c>
      <c r="Q798">
        <f t="shared" si="135"/>
        <v>0</v>
      </c>
      <c r="R798">
        <f t="shared" si="136"/>
        <v>0</v>
      </c>
      <c r="S798">
        <f t="shared" si="137"/>
        <v>0</v>
      </c>
      <c r="T798">
        <f t="shared" si="138"/>
        <v>0</v>
      </c>
      <c r="U798">
        <f t="shared" si="139"/>
        <v>0</v>
      </c>
      <c r="V798">
        <f t="shared" si="140"/>
        <v>0</v>
      </c>
      <c r="W798">
        <f t="shared" si="141"/>
        <v>0</v>
      </c>
      <c r="X798">
        <f t="shared" si="142"/>
        <v>0</v>
      </c>
      <c r="Y798">
        <f t="shared" si="143"/>
        <v>0</v>
      </c>
      <c r="Z798">
        <f t="shared" si="144"/>
        <v>0</v>
      </c>
      <c r="AA798" t="str">
        <f>INDEX('Priority activities'!$D$5:$D$86,MATCH('Database for analysis'!C798,'Priority activities'!$C$5:$C$86,0))</f>
        <v>n/a</v>
      </c>
    </row>
    <row r="799" spans="2:27" ht="16.5" thickTop="1" thickBot="1" x14ac:dyDescent="0.3">
      <c r="B799" t="s">
        <v>263</v>
      </c>
      <c r="C799" s="22" t="str">
        <f>'Costing inputs'!$C$381</f>
        <v>Consortium of FP advocates - training (PE2.1)</v>
      </c>
      <c r="D799" s="22" t="str">
        <f>'Costing inputs'!$U$381</f>
        <v>Central level</v>
      </c>
      <c r="E799" s="22">
        <f>'Regional splits'!$O$14</f>
        <v>0</v>
      </c>
      <c r="F799">
        <v>0</v>
      </c>
      <c r="G799">
        <v>0</v>
      </c>
      <c r="H799">
        <v>0</v>
      </c>
      <c r="I799">
        <v>0</v>
      </c>
      <c r="J799">
        <v>0</v>
      </c>
      <c r="K799">
        <v>0</v>
      </c>
      <c r="L799">
        <v>0</v>
      </c>
      <c r="M799">
        <v>0</v>
      </c>
      <c r="N799">
        <v>0</v>
      </c>
      <c r="O799">
        <v>0</v>
      </c>
      <c r="P799" s="5">
        <f t="shared" si="134"/>
        <v>0</v>
      </c>
      <c r="Q799">
        <f t="shared" si="135"/>
        <v>0</v>
      </c>
      <c r="R799">
        <f t="shared" si="136"/>
        <v>0</v>
      </c>
      <c r="S799">
        <f t="shared" si="137"/>
        <v>0</v>
      </c>
      <c r="T799">
        <f t="shared" si="138"/>
        <v>0</v>
      </c>
      <c r="U799">
        <f t="shared" si="139"/>
        <v>0</v>
      </c>
      <c r="V799">
        <f t="shared" si="140"/>
        <v>0</v>
      </c>
      <c r="W799">
        <f t="shared" si="141"/>
        <v>0</v>
      </c>
      <c r="X799">
        <f t="shared" si="142"/>
        <v>0</v>
      </c>
      <c r="Y799">
        <f t="shared" si="143"/>
        <v>0</v>
      </c>
      <c r="Z799">
        <f t="shared" si="144"/>
        <v>0</v>
      </c>
      <c r="AA799" t="str">
        <f>INDEX('Priority activities'!$D$5:$D$86,MATCH('Database for analysis'!C799,'Priority activities'!$C$5:$C$86,0))</f>
        <v>n/a</v>
      </c>
    </row>
    <row r="800" spans="2:27" ht="16.5" thickTop="1" thickBot="1" x14ac:dyDescent="0.3">
      <c r="B800" t="s">
        <v>263</v>
      </c>
      <c r="C800" s="22" t="str">
        <f>'Costing inputs'!$C$381</f>
        <v>Consortium of FP advocates - training (PE2.1)</v>
      </c>
      <c r="D800" s="22" t="str">
        <f>'Costing inputs'!$U$381</f>
        <v>Central level</v>
      </c>
      <c r="E800" s="22">
        <f>'Regional splits'!$P$14</f>
        <v>0</v>
      </c>
      <c r="F800">
        <v>0</v>
      </c>
      <c r="G800">
        <v>0</v>
      </c>
      <c r="H800">
        <v>0</v>
      </c>
      <c r="I800">
        <v>0</v>
      </c>
      <c r="J800">
        <v>0</v>
      </c>
      <c r="K800">
        <v>0</v>
      </c>
      <c r="L800">
        <v>0</v>
      </c>
      <c r="M800">
        <v>0</v>
      </c>
      <c r="N800">
        <v>0</v>
      </c>
      <c r="O800">
        <v>0</v>
      </c>
      <c r="P800" s="5">
        <f t="shared" si="134"/>
        <v>0</v>
      </c>
      <c r="Q800">
        <f t="shared" si="135"/>
        <v>0</v>
      </c>
      <c r="R800">
        <f t="shared" si="136"/>
        <v>0</v>
      </c>
      <c r="S800">
        <f t="shared" si="137"/>
        <v>0</v>
      </c>
      <c r="T800">
        <f t="shared" si="138"/>
        <v>0</v>
      </c>
      <c r="U800">
        <f t="shared" si="139"/>
        <v>0</v>
      </c>
      <c r="V800">
        <f t="shared" si="140"/>
        <v>0</v>
      </c>
      <c r="W800">
        <f t="shared" si="141"/>
        <v>0</v>
      </c>
      <c r="X800">
        <f t="shared" si="142"/>
        <v>0</v>
      </c>
      <c r="Y800">
        <f t="shared" si="143"/>
        <v>0</v>
      </c>
      <c r="Z800">
        <f t="shared" si="144"/>
        <v>0</v>
      </c>
      <c r="AA800" t="str">
        <f>INDEX('Priority activities'!$D$5:$D$86,MATCH('Database for analysis'!C800,'Priority activities'!$C$5:$C$86,0))</f>
        <v>n/a</v>
      </c>
    </row>
    <row r="801" spans="2:27" ht="16.5" thickTop="1" thickBot="1" x14ac:dyDescent="0.3">
      <c r="B801" t="s">
        <v>263</v>
      </c>
      <c r="C801" s="22" t="str">
        <f>'Costing inputs'!$C$381</f>
        <v>Consortium of FP advocates - training (PE2.1)</v>
      </c>
      <c r="D801" s="22" t="str">
        <f>'Costing inputs'!$U$381</f>
        <v>Central level</v>
      </c>
      <c r="E801" s="22">
        <f>'Regional splits'!$Q$14</f>
        <v>0</v>
      </c>
      <c r="F801">
        <v>0</v>
      </c>
      <c r="G801">
        <v>0</v>
      </c>
      <c r="H801">
        <v>0</v>
      </c>
      <c r="I801">
        <v>0</v>
      </c>
      <c r="J801">
        <v>0</v>
      </c>
      <c r="K801">
        <v>0</v>
      </c>
      <c r="L801">
        <v>0</v>
      </c>
      <c r="M801">
        <v>0</v>
      </c>
      <c r="N801">
        <v>0</v>
      </c>
      <c r="O801">
        <v>0</v>
      </c>
      <c r="P801" s="5">
        <f t="shared" si="134"/>
        <v>0</v>
      </c>
      <c r="Q801">
        <f t="shared" si="135"/>
        <v>0</v>
      </c>
      <c r="R801">
        <f t="shared" si="136"/>
        <v>0</v>
      </c>
      <c r="S801">
        <f t="shared" si="137"/>
        <v>0</v>
      </c>
      <c r="T801">
        <f t="shared" si="138"/>
        <v>0</v>
      </c>
      <c r="U801">
        <f t="shared" si="139"/>
        <v>0</v>
      </c>
      <c r="V801">
        <f t="shared" si="140"/>
        <v>0</v>
      </c>
      <c r="W801">
        <f t="shared" si="141"/>
        <v>0</v>
      </c>
      <c r="X801">
        <f t="shared" si="142"/>
        <v>0</v>
      </c>
      <c r="Y801">
        <f t="shared" si="143"/>
        <v>0</v>
      </c>
      <c r="Z801">
        <f t="shared" si="144"/>
        <v>0</v>
      </c>
      <c r="AA801" t="str">
        <f>INDEX('Priority activities'!$D$5:$D$86,MATCH('Database for analysis'!C801,'Priority activities'!$C$5:$C$86,0))</f>
        <v>n/a</v>
      </c>
    </row>
    <row r="802" spans="2:27" ht="16.5" thickTop="1" thickBot="1" x14ac:dyDescent="0.3">
      <c r="B802" t="s">
        <v>263</v>
      </c>
      <c r="C802" s="22" t="str">
        <f>'Costing inputs'!$C$381</f>
        <v>Consortium of FP advocates - training (PE2.1)</v>
      </c>
      <c r="D802" s="22" t="str">
        <f>'Costing inputs'!$U$381</f>
        <v>Central level</v>
      </c>
      <c r="E802" s="22" t="str">
        <f>'Regional splits'!$R$14</f>
        <v>National-level</v>
      </c>
      <c r="F802">
        <v>0</v>
      </c>
      <c r="G802">
        <v>15716.743999999999</v>
      </c>
      <c r="H802">
        <v>0</v>
      </c>
      <c r="I802">
        <v>0</v>
      </c>
      <c r="J802">
        <v>0</v>
      </c>
      <c r="K802">
        <v>0</v>
      </c>
      <c r="L802">
        <v>0</v>
      </c>
      <c r="M802">
        <v>0</v>
      </c>
      <c r="N802">
        <v>0</v>
      </c>
      <c r="O802">
        <v>0</v>
      </c>
      <c r="P802" s="5">
        <f t="shared" si="134"/>
        <v>15716.743999999999</v>
      </c>
      <c r="Q802">
        <f t="shared" si="135"/>
        <v>0</v>
      </c>
      <c r="R802">
        <f t="shared" si="136"/>
        <v>15716.743999999999</v>
      </c>
      <c r="S802">
        <f t="shared" si="137"/>
        <v>0</v>
      </c>
      <c r="T802">
        <f t="shared" si="138"/>
        <v>0</v>
      </c>
      <c r="U802">
        <f t="shared" si="139"/>
        <v>0</v>
      </c>
      <c r="V802">
        <f t="shared" si="140"/>
        <v>0</v>
      </c>
      <c r="W802">
        <f t="shared" si="141"/>
        <v>0</v>
      </c>
      <c r="X802">
        <f t="shared" si="142"/>
        <v>0</v>
      </c>
      <c r="Y802">
        <f t="shared" si="143"/>
        <v>0</v>
      </c>
      <c r="Z802">
        <f t="shared" si="144"/>
        <v>0</v>
      </c>
      <c r="AA802" t="str">
        <f>INDEX('Priority activities'!$D$5:$D$86,MATCH('Database for analysis'!C802,'Priority activities'!$C$5:$C$86,0))</f>
        <v>n/a</v>
      </c>
    </row>
    <row r="803" spans="2:27" ht="16.5" thickTop="1" thickBot="1" x14ac:dyDescent="0.3">
      <c r="B803" t="s">
        <v>263</v>
      </c>
      <c r="C803" s="22" t="str">
        <f>'Costing inputs'!$C$385</f>
        <v>Extra policy and environment 3</v>
      </c>
      <c r="D803" s="22">
        <f>'Costing inputs'!$U$385</f>
        <v>0</v>
      </c>
      <c r="E803" s="22" t="str">
        <f>'Regional splits'!$C$14</f>
        <v>Central</v>
      </c>
      <c r="F803" t="e">
        <f t="array" ref="F803:O818">'Costing inputs'!S385*'Costing inputs'!AP385:AY385*TRANSPOSE('Costing inputs'!W385:AL385)</f>
        <v>#N/A</v>
      </c>
      <c r="G803" t="e">
        <v>#N/A</v>
      </c>
      <c r="H803" t="e">
        <v>#N/A</v>
      </c>
      <c r="I803" t="e">
        <v>#N/A</v>
      </c>
      <c r="J803" t="e">
        <v>#N/A</v>
      </c>
      <c r="K803" t="e">
        <v>#N/A</v>
      </c>
      <c r="L803" t="e">
        <v>#N/A</v>
      </c>
      <c r="M803" t="e">
        <v>#N/A</v>
      </c>
      <c r="N803" t="e">
        <v>#N/A</v>
      </c>
      <c r="O803" t="e">
        <v>#N/A</v>
      </c>
      <c r="P803" s="5">
        <f t="shared" si="134"/>
        <v>0</v>
      </c>
      <c r="Q803">
        <f t="shared" si="135"/>
        <v>0</v>
      </c>
      <c r="R803">
        <f t="shared" si="136"/>
        <v>0</v>
      </c>
      <c r="S803">
        <f t="shared" si="137"/>
        <v>0</v>
      </c>
      <c r="T803">
        <f t="shared" si="138"/>
        <v>0</v>
      </c>
      <c r="U803">
        <f t="shared" si="139"/>
        <v>0</v>
      </c>
      <c r="V803">
        <f t="shared" si="140"/>
        <v>0</v>
      </c>
      <c r="W803">
        <f t="shared" si="141"/>
        <v>0</v>
      </c>
      <c r="X803">
        <f t="shared" si="142"/>
        <v>0</v>
      </c>
      <c r="Y803">
        <f t="shared" si="143"/>
        <v>0</v>
      </c>
      <c r="Z803">
        <f t="shared" si="144"/>
        <v>0</v>
      </c>
      <c r="AA803" t="str">
        <f>INDEX('Priority activities'!$D$5:$D$86,MATCH('Database for analysis'!C803,'Priority activities'!$C$5:$C$86,0))</f>
        <v>n/a</v>
      </c>
    </row>
    <row r="804" spans="2:27" ht="16.5" thickTop="1" thickBot="1" x14ac:dyDescent="0.3">
      <c r="B804" t="s">
        <v>263</v>
      </c>
      <c r="C804" s="22" t="str">
        <f>'Costing inputs'!$C$385</f>
        <v>Extra policy and environment 3</v>
      </c>
      <c r="D804" s="22">
        <f>'Costing inputs'!$U$385</f>
        <v>0</v>
      </c>
      <c r="E804" s="22" t="str">
        <f>'Regional splits'!$D$14</f>
        <v>Copperbelt</v>
      </c>
      <c r="F804" t="e">
        <v>#N/A</v>
      </c>
      <c r="G804" t="e">
        <v>#N/A</v>
      </c>
      <c r="H804" t="e">
        <v>#N/A</v>
      </c>
      <c r="I804" t="e">
        <v>#N/A</v>
      </c>
      <c r="J804" t="e">
        <v>#N/A</v>
      </c>
      <c r="K804" t="e">
        <v>#N/A</v>
      </c>
      <c r="L804" t="e">
        <v>#N/A</v>
      </c>
      <c r="M804" t="e">
        <v>#N/A</v>
      </c>
      <c r="N804" t="e">
        <v>#N/A</v>
      </c>
      <c r="O804" t="e">
        <v>#N/A</v>
      </c>
      <c r="P804" s="5">
        <f t="shared" si="134"/>
        <v>0</v>
      </c>
      <c r="Q804">
        <f t="shared" si="135"/>
        <v>0</v>
      </c>
      <c r="R804">
        <f t="shared" si="136"/>
        <v>0</v>
      </c>
      <c r="S804">
        <f t="shared" si="137"/>
        <v>0</v>
      </c>
      <c r="T804">
        <f t="shared" si="138"/>
        <v>0</v>
      </c>
      <c r="U804">
        <f t="shared" si="139"/>
        <v>0</v>
      </c>
      <c r="V804">
        <f t="shared" si="140"/>
        <v>0</v>
      </c>
      <c r="W804">
        <f t="shared" si="141"/>
        <v>0</v>
      </c>
      <c r="X804">
        <f t="shared" si="142"/>
        <v>0</v>
      </c>
      <c r="Y804">
        <f t="shared" si="143"/>
        <v>0</v>
      </c>
      <c r="Z804">
        <f t="shared" si="144"/>
        <v>0</v>
      </c>
      <c r="AA804" t="str">
        <f>INDEX('Priority activities'!$D$5:$D$86,MATCH('Database for analysis'!C804,'Priority activities'!$C$5:$C$86,0))</f>
        <v>n/a</v>
      </c>
    </row>
    <row r="805" spans="2:27" ht="16.5" thickTop="1" thickBot="1" x14ac:dyDescent="0.3">
      <c r="B805" t="s">
        <v>263</v>
      </c>
      <c r="C805" s="22" t="str">
        <f>'Costing inputs'!$C$385</f>
        <v>Extra policy and environment 3</v>
      </c>
      <c r="D805" s="22">
        <f>'Costing inputs'!$U$385</f>
        <v>0</v>
      </c>
      <c r="E805" s="22" t="str">
        <f>'Regional splits'!$E$14</f>
        <v>Eastern</v>
      </c>
      <c r="F805" t="e">
        <v>#N/A</v>
      </c>
      <c r="G805" t="e">
        <v>#N/A</v>
      </c>
      <c r="H805" t="e">
        <v>#N/A</v>
      </c>
      <c r="I805" t="e">
        <v>#N/A</v>
      </c>
      <c r="J805" t="e">
        <v>#N/A</v>
      </c>
      <c r="K805" t="e">
        <v>#N/A</v>
      </c>
      <c r="L805" t="e">
        <v>#N/A</v>
      </c>
      <c r="M805" t="e">
        <v>#N/A</v>
      </c>
      <c r="N805" t="e">
        <v>#N/A</v>
      </c>
      <c r="O805" t="e">
        <v>#N/A</v>
      </c>
      <c r="P805" s="5">
        <f t="shared" si="134"/>
        <v>0</v>
      </c>
      <c r="Q805">
        <f t="shared" si="135"/>
        <v>0</v>
      </c>
      <c r="R805">
        <f t="shared" si="136"/>
        <v>0</v>
      </c>
      <c r="S805">
        <f t="shared" si="137"/>
        <v>0</v>
      </c>
      <c r="T805">
        <f t="shared" si="138"/>
        <v>0</v>
      </c>
      <c r="U805">
        <f t="shared" si="139"/>
        <v>0</v>
      </c>
      <c r="V805">
        <f t="shared" si="140"/>
        <v>0</v>
      </c>
      <c r="W805">
        <f t="shared" si="141"/>
        <v>0</v>
      </c>
      <c r="X805">
        <f t="shared" si="142"/>
        <v>0</v>
      </c>
      <c r="Y805">
        <f t="shared" si="143"/>
        <v>0</v>
      </c>
      <c r="Z805">
        <f t="shared" si="144"/>
        <v>0</v>
      </c>
      <c r="AA805" t="str">
        <f>INDEX('Priority activities'!$D$5:$D$86,MATCH('Database for analysis'!C805,'Priority activities'!$C$5:$C$86,0))</f>
        <v>n/a</v>
      </c>
    </row>
    <row r="806" spans="2:27" ht="16.5" thickTop="1" thickBot="1" x14ac:dyDescent="0.3">
      <c r="B806" t="s">
        <v>263</v>
      </c>
      <c r="C806" s="22" t="str">
        <f>'Costing inputs'!$C$385</f>
        <v>Extra policy and environment 3</v>
      </c>
      <c r="D806" s="22">
        <f>'Costing inputs'!$U$385</f>
        <v>0</v>
      </c>
      <c r="E806" s="22" t="str">
        <f>'Regional splits'!$F$14</f>
        <v>Luapula</v>
      </c>
      <c r="F806" t="e">
        <v>#N/A</v>
      </c>
      <c r="G806" t="e">
        <v>#N/A</v>
      </c>
      <c r="H806" t="e">
        <v>#N/A</v>
      </c>
      <c r="I806" t="e">
        <v>#N/A</v>
      </c>
      <c r="J806" t="e">
        <v>#N/A</v>
      </c>
      <c r="K806" t="e">
        <v>#N/A</v>
      </c>
      <c r="L806" t="e">
        <v>#N/A</v>
      </c>
      <c r="M806" t="e">
        <v>#N/A</v>
      </c>
      <c r="N806" t="e">
        <v>#N/A</v>
      </c>
      <c r="O806" t="e">
        <v>#N/A</v>
      </c>
      <c r="P806" s="5">
        <f t="shared" si="134"/>
        <v>0</v>
      </c>
      <c r="Q806">
        <f t="shared" si="135"/>
        <v>0</v>
      </c>
      <c r="R806">
        <f t="shared" si="136"/>
        <v>0</v>
      </c>
      <c r="S806">
        <f t="shared" si="137"/>
        <v>0</v>
      </c>
      <c r="T806">
        <f t="shared" si="138"/>
        <v>0</v>
      </c>
      <c r="U806">
        <f t="shared" si="139"/>
        <v>0</v>
      </c>
      <c r="V806">
        <f t="shared" si="140"/>
        <v>0</v>
      </c>
      <c r="W806">
        <f t="shared" si="141"/>
        <v>0</v>
      </c>
      <c r="X806">
        <f t="shared" si="142"/>
        <v>0</v>
      </c>
      <c r="Y806">
        <f t="shared" si="143"/>
        <v>0</v>
      </c>
      <c r="Z806">
        <f t="shared" si="144"/>
        <v>0</v>
      </c>
      <c r="AA806" t="str">
        <f>INDEX('Priority activities'!$D$5:$D$86,MATCH('Database for analysis'!C806,'Priority activities'!$C$5:$C$86,0))</f>
        <v>n/a</v>
      </c>
    </row>
    <row r="807" spans="2:27" ht="16.5" thickTop="1" thickBot="1" x14ac:dyDescent="0.3">
      <c r="B807" t="s">
        <v>263</v>
      </c>
      <c r="C807" s="22" t="str">
        <f>'Costing inputs'!$C$385</f>
        <v>Extra policy and environment 3</v>
      </c>
      <c r="D807" s="22">
        <f>'Costing inputs'!$U$385</f>
        <v>0</v>
      </c>
      <c r="E807" s="22" t="str">
        <f>'Regional splits'!$G$14</f>
        <v>Lusaka</v>
      </c>
      <c r="F807" t="e">
        <v>#N/A</v>
      </c>
      <c r="G807" t="e">
        <v>#N/A</v>
      </c>
      <c r="H807" t="e">
        <v>#N/A</v>
      </c>
      <c r="I807" t="e">
        <v>#N/A</v>
      </c>
      <c r="J807" t="e">
        <v>#N/A</v>
      </c>
      <c r="K807" t="e">
        <v>#N/A</v>
      </c>
      <c r="L807" t="e">
        <v>#N/A</v>
      </c>
      <c r="M807" t="e">
        <v>#N/A</v>
      </c>
      <c r="N807" t="e">
        <v>#N/A</v>
      </c>
      <c r="O807" t="e">
        <v>#N/A</v>
      </c>
      <c r="P807" s="5">
        <f t="shared" si="134"/>
        <v>0</v>
      </c>
      <c r="Q807">
        <f t="shared" si="135"/>
        <v>0</v>
      </c>
      <c r="R807">
        <f t="shared" si="136"/>
        <v>0</v>
      </c>
      <c r="S807">
        <f t="shared" si="137"/>
        <v>0</v>
      </c>
      <c r="T807">
        <f t="shared" si="138"/>
        <v>0</v>
      </c>
      <c r="U807">
        <f t="shared" si="139"/>
        <v>0</v>
      </c>
      <c r="V807">
        <f t="shared" si="140"/>
        <v>0</v>
      </c>
      <c r="W807">
        <f t="shared" si="141"/>
        <v>0</v>
      </c>
      <c r="X807">
        <f t="shared" si="142"/>
        <v>0</v>
      </c>
      <c r="Y807">
        <f t="shared" si="143"/>
        <v>0</v>
      </c>
      <c r="Z807">
        <f t="shared" si="144"/>
        <v>0</v>
      </c>
      <c r="AA807" t="str">
        <f>INDEX('Priority activities'!$D$5:$D$86,MATCH('Database for analysis'!C807,'Priority activities'!$C$5:$C$86,0))</f>
        <v>n/a</v>
      </c>
    </row>
    <row r="808" spans="2:27" ht="16.5" thickTop="1" thickBot="1" x14ac:dyDescent="0.3">
      <c r="B808" t="s">
        <v>263</v>
      </c>
      <c r="C808" s="22" t="str">
        <f>'Costing inputs'!$C$385</f>
        <v>Extra policy and environment 3</v>
      </c>
      <c r="D808" s="22">
        <f>'Costing inputs'!$U$385</f>
        <v>0</v>
      </c>
      <c r="E808" s="22" t="str">
        <f>'Regional splits'!$H$14</f>
        <v>Muchinga</v>
      </c>
      <c r="F808" t="e">
        <v>#N/A</v>
      </c>
      <c r="G808" t="e">
        <v>#N/A</v>
      </c>
      <c r="H808" t="e">
        <v>#N/A</v>
      </c>
      <c r="I808" t="e">
        <v>#N/A</v>
      </c>
      <c r="J808" t="e">
        <v>#N/A</v>
      </c>
      <c r="K808" t="e">
        <v>#N/A</v>
      </c>
      <c r="L808" t="e">
        <v>#N/A</v>
      </c>
      <c r="M808" t="e">
        <v>#N/A</v>
      </c>
      <c r="N808" t="e">
        <v>#N/A</v>
      </c>
      <c r="O808" t="e">
        <v>#N/A</v>
      </c>
      <c r="P808" s="5">
        <f t="shared" si="134"/>
        <v>0</v>
      </c>
      <c r="Q808">
        <f t="shared" si="135"/>
        <v>0</v>
      </c>
      <c r="R808">
        <f t="shared" si="136"/>
        <v>0</v>
      </c>
      <c r="S808">
        <f t="shared" si="137"/>
        <v>0</v>
      </c>
      <c r="T808">
        <f t="shared" si="138"/>
        <v>0</v>
      </c>
      <c r="U808">
        <f t="shared" si="139"/>
        <v>0</v>
      </c>
      <c r="V808">
        <f t="shared" si="140"/>
        <v>0</v>
      </c>
      <c r="W808">
        <f t="shared" si="141"/>
        <v>0</v>
      </c>
      <c r="X808">
        <f t="shared" si="142"/>
        <v>0</v>
      </c>
      <c r="Y808">
        <f t="shared" si="143"/>
        <v>0</v>
      </c>
      <c r="Z808">
        <f t="shared" si="144"/>
        <v>0</v>
      </c>
      <c r="AA808" t="str">
        <f>INDEX('Priority activities'!$D$5:$D$86,MATCH('Database for analysis'!C808,'Priority activities'!$C$5:$C$86,0))</f>
        <v>n/a</v>
      </c>
    </row>
    <row r="809" spans="2:27" ht="16.5" thickTop="1" thickBot="1" x14ac:dyDescent="0.3">
      <c r="B809" t="s">
        <v>263</v>
      </c>
      <c r="C809" s="22" t="str">
        <f>'Costing inputs'!$C$385</f>
        <v>Extra policy and environment 3</v>
      </c>
      <c r="D809" s="22">
        <f>'Costing inputs'!$U$385</f>
        <v>0</v>
      </c>
      <c r="E809" s="22" t="str">
        <f>'Regional splits'!$I$14</f>
        <v>Northern</v>
      </c>
      <c r="F809" t="e">
        <v>#N/A</v>
      </c>
      <c r="G809" t="e">
        <v>#N/A</v>
      </c>
      <c r="H809" t="e">
        <v>#N/A</v>
      </c>
      <c r="I809" t="e">
        <v>#N/A</v>
      </c>
      <c r="J809" t="e">
        <v>#N/A</v>
      </c>
      <c r="K809" t="e">
        <v>#N/A</v>
      </c>
      <c r="L809" t="e">
        <v>#N/A</v>
      </c>
      <c r="M809" t="e">
        <v>#N/A</v>
      </c>
      <c r="N809" t="e">
        <v>#N/A</v>
      </c>
      <c r="O809" t="e">
        <v>#N/A</v>
      </c>
      <c r="P809" s="5">
        <f t="shared" si="134"/>
        <v>0</v>
      </c>
      <c r="Q809">
        <f t="shared" si="135"/>
        <v>0</v>
      </c>
      <c r="R809">
        <f t="shared" si="136"/>
        <v>0</v>
      </c>
      <c r="S809">
        <f t="shared" si="137"/>
        <v>0</v>
      </c>
      <c r="T809">
        <f t="shared" si="138"/>
        <v>0</v>
      </c>
      <c r="U809">
        <f t="shared" si="139"/>
        <v>0</v>
      </c>
      <c r="V809">
        <f t="shared" si="140"/>
        <v>0</v>
      </c>
      <c r="W809">
        <f t="shared" si="141"/>
        <v>0</v>
      </c>
      <c r="X809">
        <f t="shared" si="142"/>
        <v>0</v>
      </c>
      <c r="Y809">
        <f t="shared" si="143"/>
        <v>0</v>
      </c>
      <c r="Z809">
        <f t="shared" si="144"/>
        <v>0</v>
      </c>
      <c r="AA809" t="str">
        <f>INDEX('Priority activities'!$D$5:$D$86,MATCH('Database for analysis'!C809,'Priority activities'!$C$5:$C$86,0))</f>
        <v>n/a</v>
      </c>
    </row>
    <row r="810" spans="2:27" ht="16.5" thickTop="1" thickBot="1" x14ac:dyDescent="0.3">
      <c r="B810" t="s">
        <v>263</v>
      </c>
      <c r="C810" s="22" t="str">
        <f>'Costing inputs'!$C$385</f>
        <v>Extra policy and environment 3</v>
      </c>
      <c r="D810" s="22">
        <f>'Costing inputs'!$U$385</f>
        <v>0</v>
      </c>
      <c r="E810" s="22" t="str">
        <f>'Regional splits'!$J$14</f>
        <v>North Western</v>
      </c>
      <c r="F810" t="e">
        <v>#N/A</v>
      </c>
      <c r="G810" t="e">
        <v>#N/A</v>
      </c>
      <c r="H810" t="e">
        <v>#N/A</v>
      </c>
      <c r="I810" t="e">
        <v>#N/A</v>
      </c>
      <c r="J810" t="e">
        <v>#N/A</v>
      </c>
      <c r="K810" t="e">
        <v>#N/A</v>
      </c>
      <c r="L810" t="e">
        <v>#N/A</v>
      </c>
      <c r="M810" t="e">
        <v>#N/A</v>
      </c>
      <c r="N810" t="e">
        <v>#N/A</v>
      </c>
      <c r="O810" t="e">
        <v>#N/A</v>
      </c>
      <c r="P810" s="5">
        <f t="shared" si="134"/>
        <v>0</v>
      </c>
      <c r="Q810">
        <f t="shared" si="135"/>
        <v>0</v>
      </c>
      <c r="R810">
        <f t="shared" si="136"/>
        <v>0</v>
      </c>
      <c r="S810">
        <f t="shared" si="137"/>
        <v>0</v>
      </c>
      <c r="T810">
        <f t="shared" si="138"/>
        <v>0</v>
      </c>
      <c r="U810">
        <f t="shared" si="139"/>
        <v>0</v>
      </c>
      <c r="V810">
        <f t="shared" si="140"/>
        <v>0</v>
      </c>
      <c r="W810">
        <f t="shared" si="141"/>
        <v>0</v>
      </c>
      <c r="X810">
        <f t="shared" si="142"/>
        <v>0</v>
      </c>
      <c r="Y810">
        <f t="shared" si="143"/>
        <v>0</v>
      </c>
      <c r="Z810">
        <f t="shared" si="144"/>
        <v>0</v>
      </c>
      <c r="AA810" t="str">
        <f>INDEX('Priority activities'!$D$5:$D$86,MATCH('Database for analysis'!C810,'Priority activities'!$C$5:$C$86,0))</f>
        <v>n/a</v>
      </c>
    </row>
    <row r="811" spans="2:27" ht="16.5" thickTop="1" thickBot="1" x14ac:dyDescent="0.3">
      <c r="B811" t="s">
        <v>263</v>
      </c>
      <c r="C811" s="22" t="str">
        <f>'Costing inputs'!$C$385</f>
        <v>Extra policy and environment 3</v>
      </c>
      <c r="D811" s="22">
        <f>'Costing inputs'!$U$385</f>
        <v>0</v>
      </c>
      <c r="E811" s="22" t="str">
        <f>'Regional splits'!$K$14</f>
        <v>Southern</v>
      </c>
      <c r="F811" t="e">
        <v>#N/A</v>
      </c>
      <c r="G811" t="e">
        <v>#N/A</v>
      </c>
      <c r="H811" t="e">
        <v>#N/A</v>
      </c>
      <c r="I811" t="e">
        <v>#N/A</v>
      </c>
      <c r="J811" t="e">
        <v>#N/A</v>
      </c>
      <c r="K811" t="e">
        <v>#N/A</v>
      </c>
      <c r="L811" t="e">
        <v>#N/A</v>
      </c>
      <c r="M811" t="e">
        <v>#N/A</v>
      </c>
      <c r="N811" t="e">
        <v>#N/A</v>
      </c>
      <c r="O811" t="e">
        <v>#N/A</v>
      </c>
      <c r="P811" s="5">
        <f t="shared" si="134"/>
        <v>0</v>
      </c>
      <c r="Q811">
        <f t="shared" si="135"/>
        <v>0</v>
      </c>
      <c r="R811">
        <f t="shared" si="136"/>
        <v>0</v>
      </c>
      <c r="S811">
        <f t="shared" si="137"/>
        <v>0</v>
      </c>
      <c r="T811">
        <f t="shared" si="138"/>
        <v>0</v>
      </c>
      <c r="U811">
        <f t="shared" si="139"/>
        <v>0</v>
      </c>
      <c r="V811">
        <f t="shared" si="140"/>
        <v>0</v>
      </c>
      <c r="W811">
        <f t="shared" si="141"/>
        <v>0</v>
      </c>
      <c r="X811">
        <f t="shared" si="142"/>
        <v>0</v>
      </c>
      <c r="Y811">
        <f t="shared" si="143"/>
        <v>0</v>
      </c>
      <c r="Z811">
        <f t="shared" si="144"/>
        <v>0</v>
      </c>
      <c r="AA811" t="str">
        <f>INDEX('Priority activities'!$D$5:$D$86,MATCH('Database for analysis'!C811,'Priority activities'!$C$5:$C$86,0))</f>
        <v>n/a</v>
      </c>
    </row>
    <row r="812" spans="2:27" ht="16.5" thickTop="1" thickBot="1" x14ac:dyDescent="0.3">
      <c r="B812" t="s">
        <v>263</v>
      </c>
      <c r="C812" s="22" t="str">
        <f>'Costing inputs'!$C$385</f>
        <v>Extra policy and environment 3</v>
      </c>
      <c r="D812" s="22">
        <f>'Costing inputs'!$U$385</f>
        <v>0</v>
      </c>
      <c r="E812" s="22" t="str">
        <f>'Regional splits'!$L$14</f>
        <v>Western</v>
      </c>
      <c r="F812" t="e">
        <v>#N/A</v>
      </c>
      <c r="G812" t="e">
        <v>#N/A</v>
      </c>
      <c r="H812" t="e">
        <v>#N/A</v>
      </c>
      <c r="I812" t="e">
        <v>#N/A</v>
      </c>
      <c r="J812" t="e">
        <v>#N/A</v>
      </c>
      <c r="K812" t="e">
        <v>#N/A</v>
      </c>
      <c r="L812" t="e">
        <v>#N/A</v>
      </c>
      <c r="M812" t="e">
        <v>#N/A</v>
      </c>
      <c r="N812" t="e">
        <v>#N/A</v>
      </c>
      <c r="O812" t="e">
        <v>#N/A</v>
      </c>
      <c r="P812" s="5">
        <f t="shared" si="134"/>
        <v>0</v>
      </c>
      <c r="Q812">
        <f t="shared" si="135"/>
        <v>0</v>
      </c>
      <c r="R812">
        <f t="shared" si="136"/>
        <v>0</v>
      </c>
      <c r="S812">
        <f t="shared" si="137"/>
        <v>0</v>
      </c>
      <c r="T812">
        <f t="shared" si="138"/>
        <v>0</v>
      </c>
      <c r="U812">
        <f t="shared" si="139"/>
        <v>0</v>
      </c>
      <c r="V812">
        <f t="shared" si="140"/>
        <v>0</v>
      </c>
      <c r="W812">
        <f t="shared" si="141"/>
        <v>0</v>
      </c>
      <c r="X812">
        <f t="shared" si="142"/>
        <v>0</v>
      </c>
      <c r="Y812">
        <f t="shared" si="143"/>
        <v>0</v>
      </c>
      <c r="Z812">
        <f t="shared" si="144"/>
        <v>0</v>
      </c>
      <c r="AA812" t="str">
        <f>INDEX('Priority activities'!$D$5:$D$86,MATCH('Database for analysis'!C812,'Priority activities'!$C$5:$C$86,0))</f>
        <v>n/a</v>
      </c>
    </row>
    <row r="813" spans="2:27" ht="16.5" thickTop="1" thickBot="1" x14ac:dyDescent="0.3">
      <c r="B813" t="s">
        <v>263</v>
      </c>
      <c r="C813" s="22" t="str">
        <f>'Costing inputs'!$C$385</f>
        <v>Extra policy and environment 3</v>
      </c>
      <c r="D813" s="22">
        <f>'Costing inputs'!$U$385</f>
        <v>0</v>
      </c>
      <c r="E813" s="22">
        <f>'Regional splits'!$M$14</f>
        <v>0</v>
      </c>
      <c r="F813" t="e">
        <v>#N/A</v>
      </c>
      <c r="G813" t="e">
        <v>#N/A</v>
      </c>
      <c r="H813" t="e">
        <v>#N/A</v>
      </c>
      <c r="I813" t="e">
        <v>#N/A</v>
      </c>
      <c r="J813" t="e">
        <v>#N/A</v>
      </c>
      <c r="K813" t="e">
        <v>#N/A</v>
      </c>
      <c r="L813" t="e">
        <v>#N/A</v>
      </c>
      <c r="M813" t="e">
        <v>#N/A</v>
      </c>
      <c r="N813" t="e">
        <v>#N/A</v>
      </c>
      <c r="O813" t="e">
        <v>#N/A</v>
      </c>
      <c r="P813" s="5">
        <f t="shared" si="134"/>
        <v>0</v>
      </c>
      <c r="Q813">
        <f t="shared" si="135"/>
        <v>0</v>
      </c>
      <c r="R813">
        <f t="shared" si="136"/>
        <v>0</v>
      </c>
      <c r="S813">
        <f t="shared" si="137"/>
        <v>0</v>
      </c>
      <c r="T813">
        <f t="shared" si="138"/>
        <v>0</v>
      </c>
      <c r="U813">
        <f t="shared" si="139"/>
        <v>0</v>
      </c>
      <c r="V813">
        <f t="shared" si="140"/>
        <v>0</v>
      </c>
      <c r="W813">
        <f t="shared" si="141"/>
        <v>0</v>
      </c>
      <c r="X813">
        <f t="shared" si="142"/>
        <v>0</v>
      </c>
      <c r="Y813">
        <f t="shared" si="143"/>
        <v>0</v>
      </c>
      <c r="Z813">
        <f t="shared" si="144"/>
        <v>0</v>
      </c>
      <c r="AA813" t="str">
        <f>INDEX('Priority activities'!$D$5:$D$86,MATCH('Database for analysis'!C813,'Priority activities'!$C$5:$C$86,0))</f>
        <v>n/a</v>
      </c>
    </row>
    <row r="814" spans="2:27" ht="16.5" thickTop="1" thickBot="1" x14ac:dyDescent="0.3">
      <c r="B814" t="s">
        <v>263</v>
      </c>
      <c r="C814" s="22" t="str">
        <f>'Costing inputs'!$C$385</f>
        <v>Extra policy and environment 3</v>
      </c>
      <c r="D814" s="22">
        <f>'Costing inputs'!$U$385</f>
        <v>0</v>
      </c>
      <c r="E814" s="22">
        <f>'Regional splits'!$N$14</f>
        <v>0</v>
      </c>
      <c r="F814" t="e">
        <v>#N/A</v>
      </c>
      <c r="G814" t="e">
        <v>#N/A</v>
      </c>
      <c r="H814" t="e">
        <v>#N/A</v>
      </c>
      <c r="I814" t="e">
        <v>#N/A</v>
      </c>
      <c r="J814" t="e">
        <v>#N/A</v>
      </c>
      <c r="K814" t="e">
        <v>#N/A</v>
      </c>
      <c r="L814" t="e">
        <v>#N/A</v>
      </c>
      <c r="M814" t="e">
        <v>#N/A</v>
      </c>
      <c r="N814" t="e">
        <v>#N/A</v>
      </c>
      <c r="O814" t="e">
        <v>#N/A</v>
      </c>
      <c r="P814" s="5">
        <f t="shared" si="134"/>
        <v>0</v>
      </c>
      <c r="Q814">
        <f t="shared" si="135"/>
        <v>0</v>
      </c>
      <c r="R814">
        <f t="shared" si="136"/>
        <v>0</v>
      </c>
      <c r="S814">
        <f t="shared" si="137"/>
        <v>0</v>
      </c>
      <c r="T814">
        <f t="shared" si="138"/>
        <v>0</v>
      </c>
      <c r="U814">
        <f t="shared" si="139"/>
        <v>0</v>
      </c>
      <c r="V814">
        <f t="shared" si="140"/>
        <v>0</v>
      </c>
      <c r="W814">
        <f t="shared" si="141"/>
        <v>0</v>
      </c>
      <c r="X814">
        <f t="shared" si="142"/>
        <v>0</v>
      </c>
      <c r="Y814">
        <f t="shared" si="143"/>
        <v>0</v>
      </c>
      <c r="Z814">
        <f t="shared" si="144"/>
        <v>0</v>
      </c>
      <c r="AA814" t="str">
        <f>INDEX('Priority activities'!$D$5:$D$86,MATCH('Database for analysis'!C814,'Priority activities'!$C$5:$C$86,0))</f>
        <v>n/a</v>
      </c>
    </row>
    <row r="815" spans="2:27" ht="16.5" thickTop="1" thickBot="1" x14ac:dyDescent="0.3">
      <c r="B815" t="s">
        <v>263</v>
      </c>
      <c r="C815" s="22" t="str">
        <f>'Costing inputs'!$C$385</f>
        <v>Extra policy and environment 3</v>
      </c>
      <c r="D815" s="22">
        <f>'Costing inputs'!$U$385</f>
        <v>0</v>
      </c>
      <c r="E815" s="22">
        <f>'Regional splits'!$O$14</f>
        <v>0</v>
      </c>
      <c r="F815" t="e">
        <v>#N/A</v>
      </c>
      <c r="G815" t="e">
        <v>#N/A</v>
      </c>
      <c r="H815" t="e">
        <v>#N/A</v>
      </c>
      <c r="I815" t="e">
        <v>#N/A</v>
      </c>
      <c r="J815" t="e">
        <v>#N/A</v>
      </c>
      <c r="K815" t="e">
        <v>#N/A</v>
      </c>
      <c r="L815" t="e">
        <v>#N/A</v>
      </c>
      <c r="M815" t="e">
        <v>#N/A</v>
      </c>
      <c r="N815" t="e">
        <v>#N/A</v>
      </c>
      <c r="O815" t="e">
        <v>#N/A</v>
      </c>
      <c r="P815" s="5">
        <f t="shared" si="134"/>
        <v>0</v>
      </c>
      <c r="Q815">
        <f t="shared" si="135"/>
        <v>0</v>
      </c>
      <c r="R815">
        <f t="shared" si="136"/>
        <v>0</v>
      </c>
      <c r="S815">
        <f t="shared" si="137"/>
        <v>0</v>
      </c>
      <c r="T815">
        <f t="shared" si="138"/>
        <v>0</v>
      </c>
      <c r="U815">
        <f t="shared" si="139"/>
        <v>0</v>
      </c>
      <c r="V815">
        <f t="shared" si="140"/>
        <v>0</v>
      </c>
      <c r="W815">
        <f t="shared" si="141"/>
        <v>0</v>
      </c>
      <c r="X815">
        <f t="shared" si="142"/>
        <v>0</v>
      </c>
      <c r="Y815">
        <f t="shared" si="143"/>
        <v>0</v>
      </c>
      <c r="Z815">
        <f t="shared" si="144"/>
        <v>0</v>
      </c>
      <c r="AA815" t="str">
        <f>INDEX('Priority activities'!$D$5:$D$86,MATCH('Database for analysis'!C815,'Priority activities'!$C$5:$C$86,0))</f>
        <v>n/a</v>
      </c>
    </row>
    <row r="816" spans="2:27" ht="16.5" thickTop="1" thickBot="1" x14ac:dyDescent="0.3">
      <c r="B816" t="s">
        <v>263</v>
      </c>
      <c r="C816" s="22" t="str">
        <f>'Costing inputs'!$C$385</f>
        <v>Extra policy and environment 3</v>
      </c>
      <c r="D816" s="22">
        <f>'Costing inputs'!$U$385</f>
        <v>0</v>
      </c>
      <c r="E816" s="22">
        <f>'Regional splits'!$P$14</f>
        <v>0</v>
      </c>
      <c r="F816" t="e">
        <v>#N/A</v>
      </c>
      <c r="G816" t="e">
        <v>#N/A</v>
      </c>
      <c r="H816" t="e">
        <v>#N/A</v>
      </c>
      <c r="I816" t="e">
        <v>#N/A</v>
      </c>
      <c r="J816" t="e">
        <v>#N/A</v>
      </c>
      <c r="K816" t="e">
        <v>#N/A</v>
      </c>
      <c r="L816" t="e">
        <v>#N/A</v>
      </c>
      <c r="M816" t="e">
        <v>#N/A</v>
      </c>
      <c r="N816" t="e">
        <v>#N/A</v>
      </c>
      <c r="O816" t="e">
        <v>#N/A</v>
      </c>
      <c r="P816" s="5">
        <f t="shared" si="134"/>
        <v>0</v>
      </c>
      <c r="Q816">
        <f t="shared" si="135"/>
        <v>0</v>
      </c>
      <c r="R816">
        <f t="shared" si="136"/>
        <v>0</v>
      </c>
      <c r="S816">
        <f t="shared" si="137"/>
        <v>0</v>
      </c>
      <c r="T816">
        <f t="shared" si="138"/>
        <v>0</v>
      </c>
      <c r="U816">
        <f t="shared" si="139"/>
        <v>0</v>
      </c>
      <c r="V816">
        <f t="shared" si="140"/>
        <v>0</v>
      </c>
      <c r="W816">
        <f t="shared" si="141"/>
        <v>0</v>
      </c>
      <c r="X816">
        <f t="shared" si="142"/>
        <v>0</v>
      </c>
      <c r="Y816">
        <f t="shared" si="143"/>
        <v>0</v>
      </c>
      <c r="Z816">
        <f t="shared" si="144"/>
        <v>0</v>
      </c>
      <c r="AA816" t="str">
        <f>INDEX('Priority activities'!$D$5:$D$86,MATCH('Database for analysis'!C816,'Priority activities'!$C$5:$C$86,0))</f>
        <v>n/a</v>
      </c>
    </row>
    <row r="817" spans="2:27" ht="16.5" thickTop="1" thickBot="1" x14ac:dyDescent="0.3">
      <c r="B817" t="s">
        <v>263</v>
      </c>
      <c r="C817" s="22" t="str">
        <f>'Costing inputs'!$C$385</f>
        <v>Extra policy and environment 3</v>
      </c>
      <c r="D817" s="22">
        <f>'Costing inputs'!$U$385</f>
        <v>0</v>
      </c>
      <c r="E817" s="22">
        <f>'Regional splits'!$Q$14</f>
        <v>0</v>
      </c>
      <c r="F817" t="e">
        <v>#N/A</v>
      </c>
      <c r="G817" t="e">
        <v>#N/A</v>
      </c>
      <c r="H817" t="e">
        <v>#N/A</v>
      </c>
      <c r="I817" t="e">
        <v>#N/A</v>
      </c>
      <c r="J817" t="e">
        <v>#N/A</v>
      </c>
      <c r="K817" t="e">
        <v>#N/A</v>
      </c>
      <c r="L817" t="e">
        <v>#N/A</v>
      </c>
      <c r="M817" t="e">
        <v>#N/A</v>
      </c>
      <c r="N817" t="e">
        <v>#N/A</v>
      </c>
      <c r="O817" t="e">
        <v>#N/A</v>
      </c>
      <c r="P817" s="5">
        <f t="shared" si="134"/>
        <v>0</v>
      </c>
      <c r="Q817">
        <f t="shared" si="135"/>
        <v>0</v>
      </c>
      <c r="R817">
        <f t="shared" si="136"/>
        <v>0</v>
      </c>
      <c r="S817">
        <f t="shared" si="137"/>
        <v>0</v>
      </c>
      <c r="T817">
        <f t="shared" si="138"/>
        <v>0</v>
      </c>
      <c r="U817">
        <f t="shared" si="139"/>
        <v>0</v>
      </c>
      <c r="V817">
        <f t="shared" si="140"/>
        <v>0</v>
      </c>
      <c r="W817">
        <f t="shared" si="141"/>
        <v>0</v>
      </c>
      <c r="X817">
        <f t="shared" si="142"/>
        <v>0</v>
      </c>
      <c r="Y817">
        <f t="shared" si="143"/>
        <v>0</v>
      </c>
      <c r="Z817">
        <f t="shared" si="144"/>
        <v>0</v>
      </c>
      <c r="AA817" t="str">
        <f>INDEX('Priority activities'!$D$5:$D$86,MATCH('Database for analysis'!C817,'Priority activities'!$C$5:$C$86,0))</f>
        <v>n/a</v>
      </c>
    </row>
    <row r="818" spans="2:27" ht="16.5" thickTop="1" thickBot="1" x14ac:dyDescent="0.3">
      <c r="B818" t="s">
        <v>263</v>
      </c>
      <c r="C818" s="22" t="str">
        <f>'Costing inputs'!$C$385</f>
        <v>Extra policy and environment 3</v>
      </c>
      <c r="D818" s="22">
        <f>'Costing inputs'!$U$385</f>
        <v>0</v>
      </c>
      <c r="E818" s="22" t="str">
        <f>'Regional splits'!$R$14</f>
        <v>National-level</v>
      </c>
      <c r="F818" t="e">
        <v>#N/A</v>
      </c>
      <c r="G818" t="e">
        <v>#N/A</v>
      </c>
      <c r="H818" t="e">
        <v>#N/A</v>
      </c>
      <c r="I818" t="e">
        <v>#N/A</v>
      </c>
      <c r="J818" t="e">
        <v>#N/A</v>
      </c>
      <c r="K818" t="e">
        <v>#N/A</v>
      </c>
      <c r="L818" t="e">
        <v>#N/A</v>
      </c>
      <c r="M818" t="e">
        <v>#N/A</v>
      </c>
      <c r="N818" t="e">
        <v>#N/A</v>
      </c>
      <c r="O818" t="e">
        <v>#N/A</v>
      </c>
      <c r="P818" s="5">
        <f t="shared" si="134"/>
        <v>0</v>
      </c>
      <c r="Q818">
        <f t="shared" si="135"/>
        <v>0</v>
      </c>
      <c r="R818">
        <f t="shared" si="136"/>
        <v>0</v>
      </c>
      <c r="S818">
        <f t="shared" si="137"/>
        <v>0</v>
      </c>
      <c r="T818">
        <f t="shared" si="138"/>
        <v>0</v>
      </c>
      <c r="U818">
        <f t="shared" si="139"/>
        <v>0</v>
      </c>
      <c r="V818">
        <f t="shared" si="140"/>
        <v>0</v>
      </c>
      <c r="W818">
        <f t="shared" si="141"/>
        <v>0</v>
      </c>
      <c r="X818">
        <f t="shared" si="142"/>
        <v>0</v>
      </c>
      <c r="Y818">
        <f t="shared" si="143"/>
        <v>0</v>
      </c>
      <c r="Z818">
        <f t="shared" si="144"/>
        <v>0</v>
      </c>
      <c r="AA818" t="str">
        <f>INDEX('Priority activities'!$D$5:$D$86,MATCH('Database for analysis'!C818,'Priority activities'!$C$5:$C$86,0))</f>
        <v>n/a</v>
      </c>
    </row>
    <row r="819" spans="2:27" ht="16.5" thickTop="1" thickBot="1" x14ac:dyDescent="0.3">
      <c r="B819" t="s">
        <v>264</v>
      </c>
      <c r="C819" s="22" t="str">
        <f>'Costing inputs'!$C$389</f>
        <v>Financing advocacy meetings to government (F1.1)</v>
      </c>
      <c r="D819" s="22" t="str">
        <f>'Costing inputs'!$U$389</f>
        <v>Central level</v>
      </c>
      <c r="E819" s="22" t="str">
        <f>'Regional splits'!$C$14</f>
        <v>Central</v>
      </c>
      <c r="F819">
        <f t="array" ref="F819:O834">'Costing inputs'!S389*'Costing inputs'!AP389:AY389*TRANSPOSE('Costing inputs'!W389:AL389)</f>
        <v>0</v>
      </c>
      <c r="G819">
        <v>0</v>
      </c>
      <c r="H819">
        <v>0</v>
      </c>
      <c r="I819">
        <v>0</v>
      </c>
      <c r="J819">
        <v>0</v>
      </c>
      <c r="K819">
        <v>0</v>
      </c>
      <c r="L819">
        <v>0</v>
      </c>
      <c r="M819">
        <v>0</v>
      </c>
      <c r="N819">
        <v>0</v>
      </c>
      <c r="O819">
        <v>0</v>
      </c>
      <c r="P819" s="5">
        <f t="shared" si="134"/>
        <v>0</v>
      </c>
      <c r="Q819">
        <f t="shared" si="135"/>
        <v>0</v>
      </c>
      <c r="R819">
        <f t="shared" si="136"/>
        <v>0</v>
      </c>
      <c r="S819">
        <f t="shared" si="137"/>
        <v>0</v>
      </c>
      <c r="T819">
        <f t="shared" si="138"/>
        <v>0</v>
      </c>
      <c r="U819">
        <f t="shared" si="139"/>
        <v>0</v>
      </c>
      <c r="V819">
        <f t="shared" si="140"/>
        <v>0</v>
      </c>
      <c r="W819">
        <f t="shared" si="141"/>
        <v>0</v>
      </c>
      <c r="X819">
        <f t="shared" si="142"/>
        <v>0</v>
      </c>
      <c r="Y819">
        <f t="shared" si="143"/>
        <v>0</v>
      </c>
      <c r="Z819">
        <f t="shared" si="144"/>
        <v>0</v>
      </c>
      <c r="AA819" t="str">
        <f>INDEX('Priority activities'!$D$5:$D$86,MATCH('Database for analysis'!C819,'Priority activities'!$C$5:$C$86,0))</f>
        <v>n/a</v>
      </c>
    </row>
    <row r="820" spans="2:27" ht="16.5" thickTop="1" thickBot="1" x14ac:dyDescent="0.3">
      <c r="B820" t="s">
        <v>264</v>
      </c>
      <c r="C820" s="22" t="str">
        <f>'Costing inputs'!$C$389</f>
        <v>Financing advocacy meetings to government (F1.1)</v>
      </c>
      <c r="D820" s="22" t="str">
        <f>'Costing inputs'!$U$389</f>
        <v>Central level</v>
      </c>
      <c r="E820" s="22" t="str">
        <f>'Regional splits'!$D$14</f>
        <v>Copperbelt</v>
      </c>
      <c r="F820">
        <v>0</v>
      </c>
      <c r="G820">
        <v>0</v>
      </c>
      <c r="H820">
        <v>0</v>
      </c>
      <c r="I820">
        <v>0</v>
      </c>
      <c r="J820">
        <v>0</v>
      </c>
      <c r="K820">
        <v>0</v>
      </c>
      <c r="L820">
        <v>0</v>
      </c>
      <c r="M820">
        <v>0</v>
      </c>
      <c r="N820">
        <v>0</v>
      </c>
      <c r="O820">
        <v>0</v>
      </c>
      <c r="P820" s="5">
        <f t="shared" si="134"/>
        <v>0</v>
      </c>
      <c r="Q820">
        <f t="shared" si="135"/>
        <v>0</v>
      </c>
      <c r="R820">
        <f t="shared" si="136"/>
        <v>0</v>
      </c>
      <c r="S820">
        <f t="shared" si="137"/>
        <v>0</v>
      </c>
      <c r="T820">
        <f t="shared" si="138"/>
        <v>0</v>
      </c>
      <c r="U820">
        <f t="shared" si="139"/>
        <v>0</v>
      </c>
      <c r="V820">
        <f t="shared" si="140"/>
        <v>0</v>
      </c>
      <c r="W820">
        <f t="shared" si="141"/>
        <v>0</v>
      </c>
      <c r="X820">
        <f t="shared" si="142"/>
        <v>0</v>
      </c>
      <c r="Y820">
        <f t="shared" si="143"/>
        <v>0</v>
      </c>
      <c r="Z820">
        <f t="shared" si="144"/>
        <v>0</v>
      </c>
      <c r="AA820" t="str">
        <f>INDEX('Priority activities'!$D$5:$D$86,MATCH('Database for analysis'!C820,'Priority activities'!$C$5:$C$86,0))</f>
        <v>n/a</v>
      </c>
    </row>
    <row r="821" spans="2:27" ht="16.5" thickTop="1" thickBot="1" x14ac:dyDescent="0.3">
      <c r="B821" t="s">
        <v>264</v>
      </c>
      <c r="C821" s="22" t="str">
        <f>'Costing inputs'!$C$389</f>
        <v>Financing advocacy meetings to government (F1.1)</v>
      </c>
      <c r="D821" s="22" t="str">
        <f>'Costing inputs'!$U$389</f>
        <v>Central level</v>
      </c>
      <c r="E821" s="22" t="str">
        <f>'Regional splits'!$E$14</f>
        <v>Eastern</v>
      </c>
      <c r="F821">
        <v>0</v>
      </c>
      <c r="G821">
        <v>0</v>
      </c>
      <c r="H821">
        <v>0</v>
      </c>
      <c r="I821">
        <v>0</v>
      </c>
      <c r="J821">
        <v>0</v>
      </c>
      <c r="K821">
        <v>0</v>
      </c>
      <c r="L821">
        <v>0</v>
      </c>
      <c r="M821">
        <v>0</v>
      </c>
      <c r="N821">
        <v>0</v>
      </c>
      <c r="O821">
        <v>0</v>
      </c>
      <c r="P821" s="5">
        <f t="shared" si="134"/>
        <v>0</v>
      </c>
      <c r="Q821">
        <f t="shared" si="135"/>
        <v>0</v>
      </c>
      <c r="R821">
        <f t="shared" si="136"/>
        <v>0</v>
      </c>
      <c r="S821">
        <f t="shared" si="137"/>
        <v>0</v>
      </c>
      <c r="T821">
        <f t="shared" si="138"/>
        <v>0</v>
      </c>
      <c r="U821">
        <f t="shared" si="139"/>
        <v>0</v>
      </c>
      <c r="V821">
        <f t="shared" si="140"/>
        <v>0</v>
      </c>
      <c r="W821">
        <f t="shared" si="141"/>
        <v>0</v>
      </c>
      <c r="X821">
        <f t="shared" si="142"/>
        <v>0</v>
      </c>
      <c r="Y821">
        <f t="shared" si="143"/>
        <v>0</v>
      </c>
      <c r="Z821">
        <f t="shared" si="144"/>
        <v>0</v>
      </c>
      <c r="AA821" t="str">
        <f>INDEX('Priority activities'!$D$5:$D$86,MATCH('Database for analysis'!C821,'Priority activities'!$C$5:$C$86,0))</f>
        <v>n/a</v>
      </c>
    </row>
    <row r="822" spans="2:27" ht="16.5" thickTop="1" thickBot="1" x14ac:dyDescent="0.3">
      <c r="B822" t="s">
        <v>264</v>
      </c>
      <c r="C822" s="22" t="str">
        <f>'Costing inputs'!$C$389</f>
        <v>Financing advocacy meetings to government (F1.1)</v>
      </c>
      <c r="D822" s="22" t="str">
        <f>'Costing inputs'!$U$389</f>
        <v>Central level</v>
      </c>
      <c r="E822" s="22" t="str">
        <f>'Regional splits'!$F$14</f>
        <v>Luapula</v>
      </c>
      <c r="F822">
        <v>0</v>
      </c>
      <c r="G822">
        <v>0</v>
      </c>
      <c r="H822">
        <v>0</v>
      </c>
      <c r="I822">
        <v>0</v>
      </c>
      <c r="J822">
        <v>0</v>
      </c>
      <c r="K822">
        <v>0</v>
      </c>
      <c r="L822">
        <v>0</v>
      </c>
      <c r="M822">
        <v>0</v>
      </c>
      <c r="N822">
        <v>0</v>
      </c>
      <c r="O822">
        <v>0</v>
      </c>
      <c r="P822" s="5">
        <f t="shared" si="134"/>
        <v>0</v>
      </c>
      <c r="Q822">
        <f t="shared" si="135"/>
        <v>0</v>
      </c>
      <c r="R822">
        <f t="shared" si="136"/>
        <v>0</v>
      </c>
      <c r="S822">
        <f t="shared" si="137"/>
        <v>0</v>
      </c>
      <c r="T822">
        <f t="shared" si="138"/>
        <v>0</v>
      </c>
      <c r="U822">
        <f t="shared" si="139"/>
        <v>0</v>
      </c>
      <c r="V822">
        <f t="shared" si="140"/>
        <v>0</v>
      </c>
      <c r="W822">
        <f t="shared" si="141"/>
        <v>0</v>
      </c>
      <c r="X822">
        <f t="shared" si="142"/>
        <v>0</v>
      </c>
      <c r="Y822">
        <f t="shared" si="143"/>
        <v>0</v>
      </c>
      <c r="Z822">
        <f t="shared" si="144"/>
        <v>0</v>
      </c>
      <c r="AA822" t="str">
        <f>INDEX('Priority activities'!$D$5:$D$86,MATCH('Database for analysis'!C822,'Priority activities'!$C$5:$C$86,0))</f>
        <v>n/a</v>
      </c>
    </row>
    <row r="823" spans="2:27" ht="16.5" thickTop="1" thickBot="1" x14ac:dyDescent="0.3">
      <c r="B823" t="s">
        <v>264</v>
      </c>
      <c r="C823" s="22" t="str">
        <f>'Costing inputs'!$C$389</f>
        <v>Financing advocacy meetings to government (F1.1)</v>
      </c>
      <c r="D823" s="22" t="str">
        <f>'Costing inputs'!$U$389</f>
        <v>Central level</v>
      </c>
      <c r="E823" s="22" t="str">
        <f>'Regional splits'!$G$14</f>
        <v>Lusaka</v>
      </c>
      <c r="F823">
        <v>0</v>
      </c>
      <c r="G823">
        <v>0</v>
      </c>
      <c r="H823">
        <v>0</v>
      </c>
      <c r="I823">
        <v>0</v>
      </c>
      <c r="J823">
        <v>0</v>
      </c>
      <c r="K823">
        <v>0</v>
      </c>
      <c r="L823">
        <v>0</v>
      </c>
      <c r="M823">
        <v>0</v>
      </c>
      <c r="N823">
        <v>0</v>
      </c>
      <c r="O823">
        <v>0</v>
      </c>
      <c r="P823" s="5">
        <f t="shared" si="134"/>
        <v>0</v>
      </c>
      <c r="Q823">
        <f t="shared" si="135"/>
        <v>0</v>
      </c>
      <c r="R823">
        <f t="shared" si="136"/>
        <v>0</v>
      </c>
      <c r="S823">
        <f t="shared" si="137"/>
        <v>0</v>
      </c>
      <c r="T823">
        <f t="shared" si="138"/>
        <v>0</v>
      </c>
      <c r="U823">
        <f t="shared" si="139"/>
        <v>0</v>
      </c>
      <c r="V823">
        <f t="shared" si="140"/>
        <v>0</v>
      </c>
      <c r="W823">
        <f t="shared" si="141"/>
        <v>0</v>
      </c>
      <c r="X823">
        <f t="shared" si="142"/>
        <v>0</v>
      </c>
      <c r="Y823">
        <f t="shared" si="143"/>
        <v>0</v>
      </c>
      <c r="Z823">
        <f t="shared" si="144"/>
        <v>0</v>
      </c>
      <c r="AA823" t="str">
        <f>INDEX('Priority activities'!$D$5:$D$86,MATCH('Database for analysis'!C823,'Priority activities'!$C$5:$C$86,0))</f>
        <v>n/a</v>
      </c>
    </row>
    <row r="824" spans="2:27" ht="16.5" thickTop="1" thickBot="1" x14ac:dyDescent="0.3">
      <c r="B824" t="s">
        <v>264</v>
      </c>
      <c r="C824" s="22" t="str">
        <f>'Costing inputs'!$C$389</f>
        <v>Financing advocacy meetings to government (F1.1)</v>
      </c>
      <c r="D824" s="22" t="str">
        <f>'Costing inputs'!$U$389</f>
        <v>Central level</v>
      </c>
      <c r="E824" s="22" t="str">
        <f>'Regional splits'!$H$14</f>
        <v>Muchinga</v>
      </c>
      <c r="F824">
        <v>0</v>
      </c>
      <c r="G824">
        <v>0</v>
      </c>
      <c r="H824">
        <v>0</v>
      </c>
      <c r="I824">
        <v>0</v>
      </c>
      <c r="J824">
        <v>0</v>
      </c>
      <c r="K824">
        <v>0</v>
      </c>
      <c r="L824">
        <v>0</v>
      </c>
      <c r="M824">
        <v>0</v>
      </c>
      <c r="N824">
        <v>0</v>
      </c>
      <c r="O824">
        <v>0</v>
      </c>
      <c r="P824" s="5">
        <f t="shared" si="134"/>
        <v>0</v>
      </c>
      <c r="Q824">
        <f t="shared" si="135"/>
        <v>0</v>
      </c>
      <c r="R824">
        <f t="shared" si="136"/>
        <v>0</v>
      </c>
      <c r="S824">
        <f t="shared" si="137"/>
        <v>0</v>
      </c>
      <c r="T824">
        <f t="shared" si="138"/>
        <v>0</v>
      </c>
      <c r="U824">
        <f t="shared" si="139"/>
        <v>0</v>
      </c>
      <c r="V824">
        <f t="shared" si="140"/>
        <v>0</v>
      </c>
      <c r="W824">
        <f t="shared" si="141"/>
        <v>0</v>
      </c>
      <c r="X824">
        <f t="shared" si="142"/>
        <v>0</v>
      </c>
      <c r="Y824">
        <f t="shared" si="143"/>
        <v>0</v>
      </c>
      <c r="Z824">
        <f t="shared" si="144"/>
        <v>0</v>
      </c>
      <c r="AA824" t="str">
        <f>INDEX('Priority activities'!$D$5:$D$86,MATCH('Database for analysis'!C824,'Priority activities'!$C$5:$C$86,0))</f>
        <v>n/a</v>
      </c>
    </row>
    <row r="825" spans="2:27" ht="16.5" thickTop="1" thickBot="1" x14ac:dyDescent="0.3">
      <c r="B825" t="s">
        <v>264</v>
      </c>
      <c r="C825" s="22" t="str">
        <f>'Costing inputs'!$C$389</f>
        <v>Financing advocacy meetings to government (F1.1)</v>
      </c>
      <c r="D825" s="22" t="str">
        <f>'Costing inputs'!$U$389</f>
        <v>Central level</v>
      </c>
      <c r="E825" s="22" t="str">
        <f>'Regional splits'!$I$14</f>
        <v>Northern</v>
      </c>
      <c r="F825">
        <v>0</v>
      </c>
      <c r="G825">
        <v>0</v>
      </c>
      <c r="H825">
        <v>0</v>
      </c>
      <c r="I825">
        <v>0</v>
      </c>
      <c r="J825">
        <v>0</v>
      </c>
      <c r="K825">
        <v>0</v>
      </c>
      <c r="L825">
        <v>0</v>
      </c>
      <c r="M825">
        <v>0</v>
      </c>
      <c r="N825">
        <v>0</v>
      </c>
      <c r="O825">
        <v>0</v>
      </c>
      <c r="P825" s="5">
        <f t="shared" si="134"/>
        <v>0</v>
      </c>
      <c r="Q825">
        <f t="shared" si="135"/>
        <v>0</v>
      </c>
      <c r="R825">
        <f t="shared" si="136"/>
        <v>0</v>
      </c>
      <c r="S825">
        <f t="shared" si="137"/>
        <v>0</v>
      </c>
      <c r="T825">
        <f t="shared" si="138"/>
        <v>0</v>
      </c>
      <c r="U825">
        <f t="shared" si="139"/>
        <v>0</v>
      </c>
      <c r="V825">
        <f t="shared" si="140"/>
        <v>0</v>
      </c>
      <c r="W825">
        <f t="shared" si="141"/>
        <v>0</v>
      </c>
      <c r="X825">
        <f t="shared" si="142"/>
        <v>0</v>
      </c>
      <c r="Y825">
        <f t="shared" si="143"/>
        <v>0</v>
      </c>
      <c r="Z825">
        <f t="shared" si="144"/>
        <v>0</v>
      </c>
      <c r="AA825" t="str">
        <f>INDEX('Priority activities'!$D$5:$D$86,MATCH('Database for analysis'!C825,'Priority activities'!$C$5:$C$86,0))</f>
        <v>n/a</v>
      </c>
    </row>
    <row r="826" spans="2:27" ht="16.5" thickTop="1" thickBot="1" x14ac:dyDescent="0.3">
      <c r="B826" t="s">
        <v>264</v>
      </c>
      <c r="C826" s="22" t="str">
        <f>'Costing inputs'!$C$389</f>
        <v>Financing advocacy meetings to government (F1.1)</v>
      </c>
      <c r="D826" s="22" t="str">
        <f>'Costing inputs'!$U$389</f>
        <v>Central level</v>
      </c>
      <c r="E826" s="22" t="str">
        <f>'Regional splits'!$J$14</f>
        <v>North Western</v>
      </c>
      <c r="F826">
        <v>0</v>
      </c>
      <c r="G826">
        <v>0</v>
      </c>
      <c r="H826">
        <v>0</v>
      </c>
      <c r="I826">
        <v>0</v>
      </c>
      <c r="J826">
        <v>0</v>
      </c>
      <c r="K826">
        <v>0</v>
      </c>
      <c r="L826">
        <v>0</v>
      </c>
      <c r="M826">
        <v>0</v>
      </c>
      <c r="N826">
        <v>0</v>
      </c>
      <c r="O826">
        <v>0</v>
      </c>
      <c r="P826" s="5">
        <f t="shared" si="134"/>
        <v>0</v>
      </c>
      <c r="Q826">
        <f t="shared" si="135"/>
        <v>0</v>
      </c>
      <c r="R826">
        <f t="shared" si="136"/>
        <v>0</v>
      </c>
      <c r="S826">
        <f t="shared" si="137"/>
        <v>0</v>
      </c>
      <c r="T826">
        <f t="shared" si="138"/>
        <v>0</v>
      </c>
      <c r="U826">
        <f t="shared" si="139"/>
        <v>0</v>
      </c>
      <c r="V826">
        <f t="shared" si="140"/>
        <v>0</v>
      </c>
      <c r="W826">
        <f t="shared" si="141"/>
        <v>0</v>
      </c>
      <c r="X826">
        <f t="shared" si="142"/>
        <v>0</v>
      </c>
      <c r="Y826">
        <f t="shared" si="143"/>
        <v>0</v>
      </c>
      <c r="Z826">
        <f t="shared" si="144"/>
        <v>0</v>
      </c>
      <c r="AA826" t="str">
        <f>INDEX('Priority activities'!$D$5:$D$86,MATCH('Database for analysis'!C826,'Priority activities'!$C$5:$C$86,0))</f>
        <v>n/a</v>
      </c>
    </row>
    <row r="827" spans="2:27" ht="16.5" thickTop="1" thickBot="1" x14ac:dyDescent="0.3">
      <c r="B827" t="s">
        <v>264</v>
      </c>
      <c r="C827" s="22" t="str">
        <f>'Costing inputs'!$C$389</f>
        <v>Financing advocacy meetings to government (F1.1)</v>
      </c>
      <c r="D827" s="22" t="str">
        <f>'Costing inputs'!$U$389</f>
        <v>Central level</v>
      </c>
      <c r="E827" s="22" t="str">
        <f>'Regional splits'!$K$14</f>
        <v>Southern</v>
      </c>
      <c r="F827">
        <v>0</v>
      </c>
      <c r="G827">
        <v>0</v>
      </c>
      <c r="H827">
        <v>0</v>
      </c>
      <c r="I827">
        <v>0</v>
      </c>
      <c r="J827">
        <v>0</v>
      </c>
      <c r="K827">
        <v>0</v>
      </c>
      <c r="L827">
        <v>0</v>
      </c>
      <c r="M827">
        <v>0</v>
      </c>
      <c r="N827">
        <v>0</v>
      </c>
      <c r="O827">
        <v>0</v>
      </c>
      <c r="P827" s="5">
        <f t="shared" si="134"/>
        <v>0</v>
      </c>
      <c r="Q827">
        <f t="shared" si="135"/>
        <v>0</v>
      </c>
      <c r="R827">
        <f t="shared" si="136"/>
        <v>0</v>
      </c>
      <c r="S827">
        <f t="shared" si="137"/>
        <v>0</v>
      </c>
      <c r="T827">
        <f t="shared" si="138"/>
        <v>0</v>
      </c>
      <c r="U827">
        <f t="shared" si="139"/>
        <v>0</v>
      </c>
      <c r="V827">
        <f t="shared" si="140"/>
        <v>0</v>
      </c>
      <c r="W827">
        <f t="shared" si="141"/>
        <v>0</v>
      </c>
      <c r="X827">
        <f t="shared" si="142"/>
        <v>0</v>
      </c>
      <c r="Y827">
        <f t="shared" si="143"/>
        <v>0</v>
      </c>
      <c r="Z827">
        <f t="shared" si="144"/>
        <v>0</v>
      </c>
      <c r="AA827" t="str">
        <f>INDEX('Priority activities'!$D$5:$D$86,MATCH('Database for analysis'!C827,'Priority activities'!$C$5:$C$86,0))</f>
        <v>n/a</v>
      </c>
    </row>
    <row r="828" spans="2:27" ht="16.5" thickTop="1" thickBot="1" x14ac:dyDescent="0.3">
      <c r="B828" t="s">
        <v>264</v>
      </c>
      <c r="C828" s="22" t="str">
        <f>'Costing inputs'!$C$389</f>
        <v>Financing advocacy meetings to government (F1.1)</v>
      </c>
      <c r="D828" s="22" t="str">
        <f>'Costing inputs'!$U$389</f>
        <v>Central level</v>
      </c>
      <c r="E828" s="22" t="str">
        <f>'Regional splits'!$L$14</f>
        <v>Western</v>
      </c>
      <c r="F828">
        <v>0</v>
      </c>
      <c r="G828">
        <v>0</v>
      </c>
      <c r="H828">
        <v>0</v>
      </c>
      <c r="I828">
        <v>0</v>
      </c>
      <c r="J828">
        <v>0</v>
      </c>
      <c r="K828">
        <v>0</v>
      </c>
      <c r="L828">
        <v>0</v>
      </c>
      <c r="M828">
        <v>0</v>
      </c>
      <c r="N828">
        <v>0</v>
      </c>
      <c r="O828">
        <v>0</v>
      </c>
      <c r="P828" s="5">
        <f t="shared" si="134"/>
        <v>0</v>
      </c>
      <c r="Q828">
        <f t="shared" si="135"/>
        <v>0</v>
      </c>
      <c r="R828">
        <f t="shared" si="136"/>
        <v>0</v>
      </c>
      <c r="S828">
        <f t="shared" si="137"/>
        <v>0</v>
      </c>
      <c r="T828">
        <f t="shared" si="138"/>
        <v>0</v>
      </c>
      <c r="U828">
        <f t="shared" si="139"/>
        <v>0</v>
      </c>
      <c r="V828">
        <f t="shared" si="140"/>
        <v>0</v>
      </c>
      <c r="W828">
        <f t="shared" si="141"/>
        <v>0</v>
      </c>
      <c r="X828">
        <f t="shared" si="142"/>
        <v>0</v>
      </c>
      <c r="Y828">
        <f t="shared" si="143"/>
        <v>0</v>
      </c>
      <c r="Z828">
        <f t="shared" si="144"/>
        <v>0</v>
      </c>
      <c r="AA828" t="str">
        <f>INDEX('Priority activities'!$D$5:$D$86,MATCH('Database for analysis'!C828,'Priority activities'!$C$5:$C$86,0))</f>
        <v>n/a</v>
      </c>
    </row>
    <row r="829" spans="2:27" ht="16.5" thickTop="1" thickBot="1" x14ac:dyDescent="0.3">
      <c r="B829" t="s">
        <v>264</v>
      </c>
      <c r="C829" s="22" t="str">
        <f>'Costing inputs'!$C$389</f>
        <v>Financing advocacy meetings to government (F1.1)</v>
      </c>
      <c r="D829" s="22" t="str">
        <f>'Costing inputs'!$U$389</f>
        <v>Central level</v>
      </c>
      <c r="E829" s="22">
        <f>'Regional splits'!$M$14</f>
        <v>0</v>
      </c>
      <c r="F829">
        <v>0</v>
      </c>
      <c r="G829">
        <v>0</v>
      </c>
      <c r="H829">
        <v>0</v>
      </c>
      <c r="I829">
        <v>0</v>
      </c>
      <c r="J829">
        <v>0</v>
      </c>
      <c r="K829">
        <v>0</v>
      </c>
      <c r="L829">
        <v>0</v>
      </c>
      <c r="M829">
        <v>0</v>
      </c>
      <c r="N829">
        <v>0</v>
      </c>
      <c r="O829">
        <v>0</v>
      </c>
      <c r="P829" s="5">
        <f t="shared" si="134"/>
        <v>0</v>
      </c>
      <c r="Q829">
        <f t="shared" si="135"/>
        <v>0</v>
      </c>
      <c r="R829">
        <f t="shared" si="136"/>
        <v>0</v>
      </c>
      <c r="S829">
        <f t="shared" si="137"/>
        <v>0</v>
      </c>
      <c r="T829">
        <f t="shared" si="138"/>
        <v>0</v>
      </c>
      <c r="U829">
        <f t="shared" si="139"/>
        <v>0</v>
      </c>
      <c r="V829">
        <f t="shared" si="140"/>
        <v>0</v>
      </c>
      <c r="W829">
        <f t="shared" si="141"/>
        <v>0</v>
      </c>
      <c r="X829">
        <f t="shared" si="142"/>
        <v>0</v>
      </c>
      <c r="Y829">
        <f t="shared" si="143"/>
        <v>0</v>
      </c>
      <c r="Z829">
        <f t="shared" si="144"/>
        <v>0</v>
      </c>
      <c r="AA829" t="str">
        <f>INDEX('Priority activities'!$D$5:$D$86,MATCH('Database for analysis'!C829,'Priority activities'!$C$5:$C$86,0))</f>
        <v>n/a</v>
      </c>
    </row>
    <row r="830" spans="2:27" ht="16.5" thickTop="1" thickBot="1" x14ac:dyDescent="0.3">
      <c r="B830" t="s">
        <v>264</v>
      </c>
      <c r="C830" s="22" t="str">
        <f>'Costing inputs'!$C$389</f>
        <v>Financing advocacy meetings to government (F1.1)</v>
      </c>
      <c r="D830" s="22" t="str">
        <f>'Costing inputs'!$U$389</f>
        <v>Central level</v>
      </c>
      <c r="E830" s="22">
        <f>'Regional splits'!$N$14</f>
        <v>0</v>
      </c>
      <c r="F830">
        <v>0</v>
      </c>
      <c r="G830">
        <v>0</v>
      </c>
      <c r="H830">
        <v>0</v>
      </c>
      <c r="I830">
        <v>0</v>
      </c>
      <c r="J830">
        <v>0</v>
      </c>
      <c r="K830">
        <v>0</v>
      </c>
      <c r="L830">
        <v>0</v>
      </c>
      <c r="M830">
        <v>0</v>
      </c>
      <c r="N830">
        <v>0</v>
      </c>
      <c r="O830">
        <v>0</v>
      </c>
      <c r="P830" s="5">
        <f t="shared" si="134"/>
        <v>0</v>
      </c>
      <c r="Q830">
        <f t="shared" si="135"/>
        <v>0</v>
      </c>
      <c r="R830">
        <f t="shared" si="136"/>
        <v>0</v>
      </c>
      <c r="S830">
        <f t="shared" si="137"/>
        <v>0</v>
      </c>
      <c r="T830">
        <f t="shared" si="138"/>
        <v>0</v>
      </c>
      <c r="U830">
        <f t="shared" si="139"/>
        <v>0</v>
      </c>
      <c r="V830">
        <f t="shared" si="140"/>
        <v>0</v>
      </c>
      <c r="W830">
        <f t="shared" si="141"/>
        <v>0</v>
      </c>
      <c r="X830">
        <f t="shared" si="142"/>
        <v>0</v>
      </c>
      <c r="Y830">
        <f t="shared" si="143"/>
        <v>0</v>
      </c>
      <c r="Z830">
        <f t="shared" si="144"/>
        <v>0</v>
      </c>
      <c r="AA830" t="str">
        <f>INDEX('Priority activities'!$D$5:$D$86,MATCH('Database for analysis'!C830,'Priority activities'!$C$5:$C$86,0))</f>
        <v>n/a</v>
      </c>
    </row>
    <row r="831" spans="2:27" ht="16.5" thickTop="1" thickBot="1" x14ac:dyDescent="0.3">
      <c r="B831" t="s">
        <v>264</v>
      </c>
      <c r="C831" s="22" t="str">
        <f>'Costing inputs'!$C$389</f>
        <v>Financing advocacy meetings to government (F1.1)</v>
      </c>
      <c r="D831" s="22" t="str">
        <f>'Costing inputs'!$U$389</f>
        <v>Central level</v>
      </c>
      <c r="E831" s="22">
        <f>'Regional splits'!$O$14</f>
        <v>0</v>
      </c>
      <c r="F831">
        <v>0</v>
      </c>
      <c r="G831">
        <v>0</v>
      </c>
      <c r="H831">
        <v>0</v>
      </c>
      <c r="I831">
        <v>0</v>
      </c>
      <c r="J831">
        <v>0</v>
      </c>
      <c r="K831">
        <v>0</v>
      </c>
      <c r="L831">
        <v>0</v>
      </c>
      <c r="M831">
        <v>0</v>
      </c>
      <c r="N831">
        <v>0</v>
      </c>
      <c r="O831">
        <v>0</v>
      </c>
      <c r="P831" s="5">
        <f t="shared" si="134"/>
        <v>0</v>
      </c>
      <c r="Q831">
        <f t="shared" si="135"/>
        <v>0</v>
      </c>
      <c r="R831">
        <f t="shared" si="136"/>
        <v>0</v>
      </c>
      <c r="S831">
        <f t="shared" si="137"/>
        <v>0</v>
      </c>
      <c r="T831">
        <f t="shared" si="138"/>
        <v>0</v>
      </c>
      <c r="U831">
        <f t="shared" si="139"/>
        <v>0</v>
      </c>
      <c r="V831">
        <f t="shared" si="140"/>
        <v>0</v>
      </c>
      <c r="W831">
        <f t="shared" si="141"/>
        <v>0</v>
      </c>
      <c r="X831">
        <f t="shared" si="142"/>
        <v>0</v>
      </c>
      <c r="Y831">
        <f t="shared" si="143"/>
        <v>0</v>
      </c>
      <c r="Z831">
        <f t="shared" si="144"/>
        <v>0</v>
      </c>
      <c r="AA831" t="str">
        <f>INDEX('Priority activities'!$D$5:$D$86,MATCH('Database for analysis'!C831,'Priority activities'!$C$5:$C$86,0))</f>
        <v>n/a</v>
      </c>
    </row>
    <row r="832" spans="2:27" ht="16.5" thickTop="1" thickBot="1" x14ac:dyDescent="0.3">
      <c r="B832" t="s">
        <v>264</v>
      </c>
      <c r="C832" s="22" t="str">
        <f>'Costing inputs'!$C$389</f>
        <v>Financing advocacy meetings to government (F1.1)</v>
      </c>
      <c r="D832" s="22" t="str">
        <f>'Costing inputs'!$U$389</f>
        <v>Central level</v>
      </c>
      <c r="E832" s="22">
        <f>'Regional splits'!$P$14</f>
        <v>0</v>
      </c>
      <c r="F832">
        <v>0</v>
      </c>
      <c r="G832">
        <v>0</v>
      </c>
      <c r="H832">
        <v>0</v>
      </c>
      <c r="I832">
        <v>0</v>
      </c>
      <c r="J832">
        <v>0</v>
      </c>
      <c r="K832">
        <v>0</v>
      </c>
      <c r="L832">
        <v>0</v>
      </c>
      <c r="M832">
        <v>0</v>
      </c>
      <c r="N832">
        <v>0</v>
      </c>
      <c r="O832">
        <v>0</v>
      </c>
      <c r="P832" s="5">
        <f t="shared" si="134"/>
        <v>0</v>
      </c>
      <c r="Q832">
        <f t="shared" si="135"/>
        <v>0</v>
      </c>
      <c r="R832">
        <f t="shared" si="136"/>
        <v>0</v>
      </c>
      <c r="S832">
        <f t="shared" si="137"/>
        <v>0</v>
      </c>
      <c r="T832">
        <f t="shared" si="138"/>
        <v>0</v>
      </c>
      <c r="U832">
        <f t="shared" si="139"/>
        <v>0</v>
      </c>
      <c r="V832">
        <f t="shared" si="140"/>
        <v>0</v>
      </c>
      <c r="W832">
        <f t="shared" si="141"/>
        <v>0</v>
      </c>
      <c r="X832">
        <f t="shared" si="142"/>
        <v>0</v>
      </c>
      <c r="Y832">
        <f t="shared" si="143"/>
        <v>0</v>
      </c>
      <c r="Z832">
        <f t="shared" si="144"/>
        <v>0</v>
      </c>
      <c r="AA832" t="str">
        <f>INDEX('Priority activities'!$D$5:$D$86,MATCH('Database for analysis'!C832,'Priority activities'!$C$5:$C$86,0))</f>
        <v>n/a</v>
      </c>
    </row>
    <row r="833" spans="2:27" ht="16.5" thickTop="1" thickBot="1" x14ac:dyDescent="0.3">
      <c r="B833" t="s">
        <v>264</v>
      </c>
      <c r="C833" s="22" t="str">
        <f>'Costing inputs'!$C$389</f>
        <v>Financing advocacy meetings to government (F1.1)</v>
      </c>
      <c r="D833" s="22" t="str">
        <f>'Costing inputs'!$U$389</f>
        <v>Central level</v>
      </c>
      <c r="E833" s="22">
        <f>'Regional splits'!$Q$14</f>
        <v>0</v>
      </c>
      <c r="F833">
        <v>0</v>
      </c>
      <c r="G833">
        <v>0</v>
      </c>
      <c r="H833">
        <v>0</v>
      </c>
      <c r="I833">
        <v>0</v>
      </c>
      <c r="J833">
        <v>0</v>
      </c>
      <c r="K833">
        <v>0</v>
      </c>
      <c r="L833">
        <v>0</v>
      </c>
      <c r="M833">
        <v>0</v>
      </c>
      <c r="N833">
        <v>0</v>
      </c>
      <c r="O833">
        <v>0</v>
      </c>
      <c r="P833" s="5">
        <f t="shared" si="134"/>
        <v>0</v>
      </c>
      <c r="Q833">
        <f t="shared" si="135"/>
        <v>0</v>
      </c>
      <c r="R833">
        <f t="shared" si="136"/>
        <v>0</v>
      </c>
      <c r="S833">
        <f t="shared" si="137"/>
        <v>0</v>
      </c>
      <c r="T833">
        <f t="shared" si="138"/>
        <v>0</v>
      </c>
      <c r="U833">
        <f t="shared" si="139"/>
        <v>0</v>
      </c>
      <c r="V833">
        <f t="shared" si="140"/>
        <v>0</v>
      </c>
      <c r="W833">
        <f t="shared" si="141"/>
        <v>0</v>
      </c>
      <c r="X833">
        <f t="shared" si="142"/>
        <v>0</v>
      </c>
      <c r="Y833">
        <f t="shared" si="143"/>
        <v>0</v>
      </c>
      <c r="Z833">
        <f t="shared" si="144"/>
        <v>0</v>
      </c>
      <c r="AA833" t="str">
        <f>INDEX('Priority activities'!$D$5:$D$86,MATCH('Database for analysis'!C833,'Priority activities'!$C$5:$C$86,0))</f>
        <v>n/a</v>
      </c>
    </row>
    <row r="834" spans="2:27" ht="16.5" thickTop="1" thickBot="1" x14ac:dyDescent="0.3">
      <c r="B834" t="s">
        <v>264</v>
      </c>
      <c r="C834" s="22" t="str">
        <f>'Costing inputs'!$C$389</f>
        <v>Financing advocacy meetings to government (F1.1)</v>
      </c>
      <c r="D834" s="22" t="str">
        <f>'Costing inputs'!$U$389</f>
        <v>Central level</v>
      </c>
      <c r="E834" s="22" t="str">
        <f>'Regional splits'!$R$14</f>
        <v>National-level</v>
      </c>
      <c r="F834">
        <v>0</v>
      </c>
      <c r="G834">
        <v>53829.244000000006</v>
      </c>
      <c r="H834">
        <v>0</v>
      </c>
      <c r="I834">
        <v>53829.244000000006</v>
      </c>
      <c r="J834">
        <v>0</v>
      </c>
      <c r="K834">
        <v>53829.244000000006</v>
      </c>
      <c r="L834">
        <v>0</v>
      </c>
      <c r="M834">
        <v>53829.244000000006</v>
      </c>
      <c r="N834">
        <v>0</v>
      </c>
      <c r="O834">
        <v>0</v>
      </c>
      <c r="P834" s="5">
        <f t="shared" si="134"/>
        <v>215316.97600000002</v>
      </c>
      <c r="Q834">
        <f t="shared" si="135"/>
        <v>0</v>
      </c>
      <c r="R834">
        <f t="shared" si="136"/>
        <v>53829.244000000006</v>
      </c>
      <c r="S834">
        <f t="shared" si="137"/>
        <v>0</v>
      </c>
      <c r="T834">
        <f t="shared" si="138"/>
        <v>53829.244000000006</v>
      </c>
      <c r="U834">
        <f t="shared" si="139"/>
        <v>0</v>
      </c>
      <c r="V834">
        <f t="shared" si="140"/>
        <v>53829.244000000006</v>
      </c>
      <c r="W834">
        <f t="shared" si="141"/>
        <v>0</v>
      </c>
      <c r="X834">
        <f t="shared" si="142"/>
        <v>53829.244000000006</v>
      </c>
      <c r="Y834">
        <f t="shared" si="143"/>
        <v>0</v>
      </c>
      <c r="Z834">
        <f t="shared" si="144"/>
        <v>0</v>
      </c>
      <c r="AA834" t="str">
        <f>INDEX('Priority activities'!$D$5:$D$86,MATCH('Database for analysis'!C834,'Priority activities'!$C$5:$C$86,0))</f>
        <v>n/a</v>
      </c>
    </row>
    <row r="835" spans="2:27" ht="16.5" thickTop="1" thickBot="1" x14ac:dyDescent="0.3">
      <c r="B835" t="s">
        <v>264</v>
      </c>
      <c r="C835" s="22" t="str">
        <f>'Costing inputs'!$C$393</f>
        <v>Advocacy strategy and meetings to donors (F1.2)</v>
      </c>
      <c r="D835" s="22" t="str">
        <f>'Costing inputs'!$U$393</f>
        <v>Central level</v>
      </c>
      <c r="E835" s="22" t="str">
        <f>'Regional splits'!$C$14</f>
        <v>Central</v>
      </c>
      <c r="F835">
        <f t="array" ref="F835:O850">'Costing inputs'!S393*'Costing inputs'!AP393:AY393*TRANSPOSE('Costing inputs'!W393:AL393)</f>
        <v>0</v>
      </c>
      <c r="G835">
        <v>0</v>
      </c>
      <c r="H835">
        <v>0</v>
      </c>
      <c r="I835">
        <v>0</v>
      </c>
      <c r="J835">
        <v>0</v>
      </c>
      <c r="K835">
        <v>0</v>
      </c>
      <c r="L835">
        <v>0</v>
      </c>
      <c r="M835">
        <v>0</v>
      </c>
      <c r="N835">
        <v>0</v>
      </c>
      <c r="O835">
        <v>0</v>
      </c>
      <c r="P835" s="5">
        <f t="shared" si="134"/>
        <v>0</v>
      </c>
      <c r="Q835">
        <f t="shared" si="135"/>
        <v>0</v>
      </c>
      <c r="R835">
        <f t="shared" si="136"/>
        <v>0</v>
      </c>
      <c r="S835">
        <f t="shared" si="137"/>
        <v>0</v>
      </c>
      <c r="T835">
        <f t="shared" si="138"/>
        <v>0</v>
      </c>
      <c r="U835">
        <f t="shared" si="139"/>
        <v>0</v>
      </c>
      <c r="V835">
        <f t="shared" si="140"/>
        <v>0</v>
      </c>
      <c r="W835">
        <f t="shared" si="141"/>
        <v>0</v>
      </c>
      <c r="X835">
        <f t="shared" si="142"/>
        <v>0</v>
      </c>
      <c r="Y835">
        <f t="shared" si="143"/>
        <v>0</v>
      </c>
      <c r="Z835">
        <f t="shared" si="144"/>
        <v>0</v>
      </c>
      <c r="AA835" t="str">
        <f>INDEX('Priority activities'!$D$5:$D$86,MATCH('Database for analysis'!C835,'Priority activities'!$C$5:$C$86,0))</f>
        <v>n/a</v>
      </c>
    </row>
    <row r="836" spans="2:27" ht="16.5" thickTop="1" thickBot="1" x14ac:dyDescent="0.3">
      <c r="B836" t="s">
        <v>264</v>
      </c>
      <c r="C836" s="22" t="str">
        <f>'Costing inputs'!$C$393</f>
        <v>Advocacy strategy and meetings to donors (F1.2)</v>
      </c>
      <c r="D836" s="22" t="str">
        <f>'Costing inputs'!$U$393</f>
        <v>Central level</v>
      </c>
      <c r="E836" s="22" t="str">
        <f>'Regional splits'!$D$14</f>
        <v>Copperbelt</v>
      </c>
      <c r="F836">
        <v>0</v>
      </c>
      <c r="G836">
        <v>0</v>
      </c>
      <c r="H836">
        <v>0</v>
      </c>
      <c r="I836">
        <v>0</v>
      </c>
      <c r="J836">
        <v>0</v>
      </c>
      <c r="K836">
        <v>0</v>
      </c>
      <c r="L836">
        <v>0</v>
      </c>
      <c r="M836">
        <v>0</v>
      </c>
      <c r="N836">
        <v>0</v>
      </c>
      <c r="O836">
        <v>0</v>
      </c>
      <c r="P836" s="5">
        <f t="shared" ref="P836:P899" si="145">SUMIF(F836:O836,"&lt;&gt;#N/A")</f>
        <v>0</v>
      </c>
      <c r="Q836">
        <f t="shared" ref="Q836:Q899" si="146">IF(ISNA(F836),0,F836)</f>
        <v>0</v>
      </c>
      <c r="R836">
        <f t="shared" ref="R836:R899" si="147">IF(ISNA(G836),0,G836)</f>
        <v>0</v>
      </c>
      <c r="S836">
        <f t="shared" ref="S836:S899" si="148">IF(ISNA(H836),0,H836)</f>
        <v>0</v>
      </c>
      <c r="T836">
        <f t="shared" ref="T836:T899" si="149">IF(ISNA(I836),0,I836)</f>
        <v>0</v>
      </c>
      <c r="U836">
        <f t="shared" ref="U836:U899" si="150">IF(ISNA(J836),0,J836)</f>
        <v>0</v>
      </c>
      <c r="V836">
        <f t="shared" ref="V836:V899" si="151">IF(ISNA(K836),0,K836)</f>
        <v>0</v>
      </c>
      <c r="W836">
        <f t="shared" ref="W836:W899" si="152">IF(ISNA(L836),0,L836)</f>
        <v>0</v>
      </c>
      <c r="X836">
        <f t="shared" ref="X836:X899" si="153">IF(ISNA(M836),0,M836)</f>
        <v>0</v>
      </c>
      <c r="Y836">
        <f t="shared" ref="Y836:Y899" si="154">IF(ISNA(N836),0,N836)</f>
        <v>0</v>
      </c>
      <c r="Z836">
        <f t="shared" ref="Z836:Z899" si="155">IF(ISNA(O836),0,O836)</f>
        <v>0</v>
      </c>
      <c r="AA836" t="str">
        <f>INDEX('Priority activities'!$D$5:$D$86,MATCH('Database for analysis'!C836,'Priority activities'!$C$5:$C$86,0))</f>
        <v>n/a</v>
      </c>
    </row>
    <row r="837" spans="2:27" ht="16.5" thickTop="1" thickBot="1" x14ac:dyDescent="0.3">
      <c r="B837" t="s">
        <v>264</v>
      </c>
      <c r="C837" s="22" t="str">
        <f>'Costing inputs'!$C$393</f>
        <v>Advocacy strategy and meetings to donors (F1.2)</v>
      </c>
      <c r="D837" s="22" t="str">
        <f>'Costing inputs'!$U$393</f>
        <v>Central level</v>
      </c>
      <c r="E837" s="22" t="str">
        <f>'Regional splits'!$E$14</f>
        <v>Eastern</v>
      </c>
      <c r="F837">
        <v>0</v>
      </c>
      <c r="G837">
        <v>0</v>
      </c>
      <c r="H837">
        <v>0</v>
      </c>
      <c r="I837">
        <v>0</v>
      </c>
      <c r="J837">
        <v>0</v>
      </c>
      <c r="K837">
        <v>0</v>
      </c>
      <c r="L837">
        <v>0</v>
      </c>
      <c r="M837">
        <v>0</v>
      </c>
      <c r="N837">
        <v>0</v>
      </c>
      <c r="O837">
        <v>0</v>
      </c>
      <c r="P837" s="5">
        <f t="shared" si="145"/>
        <v>0</v>
      </c>
      <c r="Q837">
        <f t="shared" si="146"/>
        <v>0</v>
      </c>
      <c r="R837">
        <f t="shared" si="147"/>
        <v>0</v>
      </c>
      <c r="S837">
        <f t="shared" si="148"/>
        <v>0</v>
      </c>
      <c r="T837">
        <f t="shared" si="149"/>
        <v>0</v>
      </c>
      <c r="U837">
        <f t="shared" si="150"/>
        <v>0</v>
      </c>
      <c r="V837">
        <f t="shared" si="151"/>
        <v>0</v>
      </c>
      <c r="W837">
        <f t="shared" si="152"/>
        <v>0</v>
      </c>
      <c r="X837">
        <f t="shared" si="153"/>
        <v>0</v>
      </c>
      <c r="Y837">
        <f t="shared" si="154"/>
        <v>0</v>
      </c>
      <c r="Z837">
        <f t="shared" si="155"/>
        <v>0</v>
      </c>
      <c r="AA837" t="str">
        <f>INDEX('Priority activities'!$D$5:$D$86,MATCH('Database for analysis'!C837,'Priority activities'!$C$5:$C$86,0))</f>
        <v>n/a</v>
      </c>
    </row>
    <row r="838" spans="2:27" ht="16.5" thickTop="1" thickBot="1" x14ac:dyDescent="0.3">
      <c r="B838" t="s">
        <v>264</v>
      </c>
      <c r="C838" s="22" t="str">
        <f>'Costing inputs'!$C$393</f>
        <v>Advocacy strategy and meetings to donors (F1.2)</v>
      </c>
      <c r="D838" s="22" t="str">
        <f>'Costing inputs'!$U$393</f>
        <v>Central level</v>
      </c>
      <c r="E838" s="22" t="str">
        <f>'Regional splits'!$F$14</f>
        <v>Luapula</v>
      </c>
      <c r="F838">
        <v>0</v>
      </c>
      <c r="G838">
        <v>0</v>
      </c>
      <c r="H838">
        <v>0</v>
      </c>
      <c r="I838">
        <v>0</v>
      </c>
      <c r="J838">
        <v>0</v>
      </c>
      <c r="K838">
        <v>0</v>
      </c>
      <c r="L838">
        <v>0</v>
      </c>
      <c r="M838">
        <v>0</v>
      </c>
      <c r="N838">
        <v>0</v>
      </c>
      <c r="O838">
        <v>0</v>
      </c>
      <c r="P838" s="5">
        <f t="shared" si="145"/>
        <v>0</v>
      </c>
      <c r="Q838">
        <f t="shared" si="146"/>
        <v>0</v>
      </c>
      <c r="R838">
        <f t="shared" si="147"/>
        <v>0</v>
      </c>
      <c r="S838">
        <f t="shared" si="148"/>
        <v>0</v>
      </c>
      <c r="T838">
        <f t="shared" si="149"/>
        <v>0</v>
      </c>
      <c r="U838">
        <f t="shared" si="150"/>
        <v>0</v>
      </c>
      <c r="V838">
        <f t="shared" si="151"/>
        <v>0</v>
      </c>
      <c r="W838">
        <f t="shared" si="152"/>
        <v>0</v>
      </c>
      <c r="X838">
        <f t="shared" si="153"/>
        <v>0</v>
      </c>
      <c r="Y838">
        <f t="shared" si="154"/>
        <v>0</v>
      </c>
      <c r="Z838">
        <f t="shared" si="155"/>
        <v>0</v>
      </c>
      <c r="AA838" t="str">
        <f>INDEX('Priority activities'!$D$5:$D$86,MATCH('Database for analysis'!C838,'Priority activities'!$C$5:$C$86,0))</f>
        <v>n/a</v>
      </c>
    </row>
    <row r="839" spans="2:27" ht="16.5" thickTop="1" thickBot="1" x14ac:dyDescent="0.3">
      <c r="B839" t="s">
        <v>264</v>
      </c>
      <c r="C839" s="22" t="str">
        <f>'Costing inputs'!$C$393</f>
        <v>Advocacy strategy and meetings to donors (F1.2)</v>
      </c>
      <c r="D839" s="22" t="str">
        <f>'Costing inputs'!$U$393</f>
        <v>Central level</v>
      </c>
      <c r="E839" s="22" t="str">
        <f>'Regional splits'!$G$14</f>
        <v>Lusaka</v>
      </c>
      <c r="F839">
        <v>0</v>
      </c>
      <c r="G839">
        <v>0</v>
      </c>
      <c r="H839">
        <v>0</v>
      </c>
      <c r="I839">
        <v>0</v>
      </c>
      <c r="J839">
        <v>0</v>
      </c>
      <c r="K839">
        <v>0</v>
      </c>
      <c r="L839">
        <v>0</v>
      </c>
      <c r="M839">
        <v>0</v>
      </c>
      <c r="N839">
        <v>0</v>
      </c>
      <c r="O839">
        <v>0</v>
      </c>
      <c r="P839" s="5">
        <f t="shared" si="145"/>
        <v>0</v>
      </c>
      <c r="Q839">
        <f t="shared" si="146"/>
        <v>0</v>
      </c>
      <c r="R839">
        <f t="shared" si="147"/>
        <v>0</v>
      </c>
      <c r="S839">
        <f t="shared" si="148"/>
        <v>0</v>
      </c>
      <c r="T839">
        <f t="shared" si="149"/>
        <v>0</v>
      </c>
      <c r="U839">
        <f t="shared" si="150"/>
        <v>0</v>
      </c>
      <c r="V839">
        <f t="shared" si="151"/>
        <v>0</v>
      </c>
      <c r="W839">
        <f t="shared" si="152"/>
        <v>0</v>
      </c>
      <c r="X839">
        <f t="shared" si="153"/>
        <v>0</v>
      </c>
      <c r="Y839">
        <f t="shared" si="154"/>
        <v>0</v>
      </c>
      <c r="Z839">
        <f t="shared" si="155"/>
        <v>0</v>
      </c>
      <c r="AA839" t="str">
        <f>INDEX('Priority activities'!$D$5:$D$86,MATCH('Database for analysis'!C839,'Priority activities'!$C$5:$C$86,0))</f>
        <v>n/a</v>
      </c>
    </row>
    <row r="840" spans="2:27" ht="16.5" thickTop="1" thickBot="1" x14ac:dyDescent="0.3">
      <c r="B840" t="s">
        <v>264</v>
      </c>
      <c r="C840" s="22" t="str">
        <f>'Costing inputs'!$C$393</f>
        <v>Advocacy strategy and meetings to donors (F1.2)</v>
      </c>
      <c r="D840" s="22" t="str">
        <f>'Costing inputs'!$U$393</f>
        <v>Central level</v>
      </c>
      <c r="E840" s="22" t="str">
        <f>'Regional splits'!$H$14</f>
        <v>Muchinga</v>
      </c>
      <c r="F840">
        <v>0</v>
      </c>
      <c r="G840">
        <v>0</v>
      </c>
      <c r="H840">
        <v>0</v>
      </c>
      <c r="I840">
        <v>0</v>
      </c>
      <c r="J840">
        <v>0</v>
      </c>
      <c r="K840">
        <v>0</v>
      </c>
      <c r="L840">
        <v>0</v>
      </c>
      <c r="M840">
        <v>0</v>
      </c>
      <c r="N840">
        <v>0</v>
      </c>
      <c r="O840">
        <v>0</v>
      </c>
      <c r="P840" s="5">
        <f t="shared" si="145"/>
        <v>0</v>
      </c>
      <c r="Q840">
        <f t="shared" si="146"/>
        <v>0</v>
      </c>
      <c r="R840">
        <f t="shared" si="147"/>
        <v>0</v>
      </c>
      <c r="S840">
        <f t="shared" si="148"/>
        <v>0</v>
      </c>
      <c r="T840">
        <f t="shared" si="149"/>
        <v>0</v>
      </c>
      <c r="U840">
        <f t="shared" si="150"/>
        <v>0</v>
      </c>
      <c r="V840">
        <f t="shared" si="151"/>
        <v>0</v>
      </c>
      <c r="W840">
        <f t="shared" si="152"/>
        <v>0</v>
      </c>
      <c r="X840">
        <f t="shared" si="153"/>
        <v>0</v>
      </c>
      <c r="Y840">
        <f t="shared" si="154"/>
        <v>0</v>
      </c>
      <c r="Z840">
        <f t="shared" si="155"/>
        <v>0</v>
      </c>
      <c r="AA840" t="str">
        <f>INDEX('Priority activities'!$D$5:$D$86,MATCH('Database for analysis'!C840,'Priority activities'!$C$5:$C$86,0))</f>
        <v>n/a</v>
      </c>
    </row>
    <row r="841" spans="2:27" ht="16.5" thickTop="1" thickBot="1" x14ac:dyDescent="0.3">
      <c r="B841" t="s">
        <v>264</v>
      </c>
      <c r="C841" s="22" t="str">
        <f>'Costing inputs'!$C$393</f>
        <v>Advocacy strategy and meetings to donors (F1.2)</v>
      </c>
      <c r="D841" s="22" t="str">
        <f>'Costing inputs'!$U$393</f>
        <v>Central level</v>
      </c>
      <c r="E841" s="22" t="str">
        <f>'Regional splits'!$I$14</f>
        <v>Northern</v>
      </c>
      <c r="F841">
        <v>0</v>
      </c>
      <c r="G841">
        <v>0</v>
      </c>
      <c r="H841">
        <v>0</v>
      </c>
      <c r="I841">
        <v>0</v>
      </c>
      <c r="J841">
        <v>0</v>
      </c>
      <c r="K841">
        <v>0</v>
      </c>
      <c r="L841">
        <v>0</v>
      </c>
      <c r="M841">
        <v>0</v>
      </c>
      <c r="N841">
        <v>0</v>
      </c>
      <c r="O841">
        <v>0</v>
      </c>
      <c r="P841" s="5">
        <f t="shared" si="145"/>
        <v>0</v>
      </c>
      <c r="Q841">
        <f t="shared" si="146"/>
        <v>0</v>
      </c>
      <c r="R841">
        <f t="shared" si="147"/>
        <v>0</v>
      </c>
      <c r="S841">
        <f t="shared" si="148"/>
        <v>0</v>
      </c>
      <c r="T841">
        <f t="shared" si="149"/>
        <v>0</v>
      </c>
      <c r="U841">
        <f t="shared" si="150"/>
        <v>0</v>
      </c>
      <c r="V841">
        <f t="shared" si="151"/>
        <v>0</v>
      </c>
      <c r="W841">
        <f t="shared" si="152"/>
        <v>0</v>
      </c>
      <c r="X841">
        <f t="shared" si="153"/>
        <v>0</v>
      </c>
      <c r="Y841">
        <f t="shared" si="154"/>
        <v>0</v>
      </c>
      <c r="Z841">
        <f t="shared" si="155"/>
        <v>0</v>
      </c>
      <c r="AA841" t="str">
        <f>INDEX('Priority activities'!$D$5:$D$86,MATCH('Database for analysis'!C841,'Priority activities'!$C$5:$C$86,0))</f>
        <v>n/a</v>
      </c>
    </row>
    <row r="842" spans="2:27" ht="16.5" thickTop="1" thickBot="1" x14ac:dyDescent="0.3">
      <c r="B842" t="s">
        <v>264</v>
      </c>
      <c r="C842" s="22" t="str">
        <f>'Costing inputs'!$C$393</f>
        <v>Advocacy strategy and meetings to donors (F1.2)</v>
      </c>
      <c r="D842" s="22" t="str">
        <f>'Costing inputs'!$U$393</f>
        <v>Central level</v>
      </c>
      <c r="E842" s="22" t="str">
        <f>'Regional splits'!$J$14</f>
        <v>North Western</v>
      </c>
      <c r="F842">
        <v>0</v>
      </c>
      <c r="G842">
        <v>0</v>
      </c>
      <c r="H842">
        <v>0</v>
      </c>
      <c r="I842">
        <v>0</v>
      </c>
      <c r="J842">
        <v>0</v>
      </c>
      <c r="K842">
        <v>0</v>
      </c>
      <c r="L842">
        <v>0</v>
      </c>
      <c r="M842">
        <v>0</v>
      </c>
      <c r="N842">
        <v>0</v>
      </c>
      <c r="O842">
        <v>0</v>
      </c>
      <c r="P842" s="5">
        <f t="shared" si="145"/>
        <v>0</v>
      </c>
      <c r="Q842">
        <f t="shared" si="146"/>
        <v>0</v>
      </c>
      <c r="R842">
        <f t="shared" si="147"/>
        <v>0</v>
      </c>
      <c r="S842">
        <f t="shared" si="148"/>
        <v>0</v>
      </c>
      <c r="T842">
        <f t="shared" si="149"/>
        <v>0</v>
      </c>
      <c r="U842">
        <f t="shared" si="150"/>
        <v>0</v>
      </c>
      <c r="V842">
        <f t="shared" si="151"/>
        <v>0</v>
      </c>
      <c r="W842">
        <f t="shared" si="152"/>
        <v>0</v>
      </c>
      <c r="X842">
        <f t="shared" si="153"/>
        <v>0</v>
      </c>
      <c r="Y842">
        <f t="shared" si="154"/>
        <v>0</v>
      </c>
      <c r="Z842">
        <f t="shared" si="155"/>
        <v>0</v>
      </c>
      <c r="AA842" t="str">
        <f>INDEX('Priority activities'!$D$5:$D$86,MATCH('Database for analysis'!C842,'Priority activities'!$C$5:$C$86,0))</f>
        <v>n/a</v>
      </c>
    </row>
    <row r="843" spans="2:27" ht="16.5" thickTop="1" thickBot="1" x14ac:dyDescent="0.3">
      <c r="B843" t="s">
        <v>264</v>
      </c>
      <c r="C843" s="22" t="str">
        <f>'Costing inputs'!$C$393</f>
        <v>Advocacy strategy and meetings to donors (F1.2)</v>
      </c>
      <c r="D843" s="22" t="str">
        <f>'Costing inputs'!$U$393</f>
        <v>Central level</v>
      </c>
      <c r="E843" s="22" t="str">
        <f>'Regional splits'!$K$14</f>
        <v>Southern</v>
      </c>
      <c r="F843">
        <v>0</v>
      </c>
      <c r="G843">
        <v>0</v>
      </c>
      <c r="H843">
        <v>0</v>
      </c>
      <c r="I843">
        <v>0</v>
      </c>
      <c r="J843">
        <v>0</v>
      </c>
      <c r="K843">
        <v>0</v>
      </c>
      <c r="L843">
        <v>0</v>
      </c>
      <c r="M843">
        <v>0</v>
      </c>
      <c r="N843">
        <v>0</v>
      </c>
      <c r="O843">
        <v>0</v>
      </c>
      <c r="P843" s="5">
        <f t="shared" si="145"/>
        <v>0</v>
      </c>
      <c r="Q843">
        <f t="shared" si="146"/>
        <v>0</v>
      </c>
      <c r="R843">
        <f t="shared" si="147"/>
        <v>0</v>
      </c>
      <c r="S843">
        <f t="shared" si="148"/>
        <v>0</v>
      </c>
      <c r="T843">
        <f t="shared" si="149"/>
        <v>0</v>
      </c>
      <c r="U843">
        <f t="shared" si="150"/>
        <v>0</v>
      </c>
      <c r="V843">
        <f t="shared" si="151"/>
        <v>0</v>
      </c>
      <c r="W843">
        <f t="shared" si="152"/>
        <v>0</v>
      </c>
      <c r="X843">
        <f t="shared" si="153"/>
        <v>0</v>
      </c>
      <c r="Y843">
        <f t="shared" si="154"/>
        <v>0</v>
      </c>
      <c r="Z843">
        <f t="shared" si="155"/>
        <v>0</v>
      </c>
      <c r="AA843" t="str">
        <f>INDEX('Priority activities'!$D$5:$D$86,MATCH('Database for analysis'!C843,'Priority activities'!$C$5:$C$86,0))</f>
        <v>n/a</v>
      </c>
    </row>
    <row r="844" spans="2:27" ht="16.5" thickTop="1" thickBot="1" x14ac:dyDescent="0.3">
      <c r="B844" t="s">
        <v>264</v>
      </c>
      <c r="C844" s="22" t="str">
        <f>'Costing inputs'!$C$393</f>
        <v>Advocacy strategy and meetings to donors (F1.2)</v>
      </c>
      <c r="D844" s="22" t="str">
        <f>'Costing inputs'!$U$393</f>
        <v>Central level</v>
      </c>
      <c r="E844" s="22" t="str">
        <f>'Regional splits'!$L$14</f>
        <v>Western</v>
      </c>
      <c r="F844">
        <v>0</v>
      </c>
      <c r="G844">
        <v>0</v>
      </c>
      <c r="H844">
        <v>0</v>
      </c>
      <c r="I844">
        <v>0</v>
      </c>
      <c r="J844">
        <v>0</v>
      </c>
      <c r="K844">
        <v>0</v>
      </c>
      <c r="L844">
        <v>0</v>
      </c>
      <c r="M844">
        <v>0</v>
      </c>
      <c r="N844">
        <v>0</v>
      </c>
      <c r="O844">
        <v>0</v>
      </c>
      <c r="P844" s="5">
        <f t="shared" si="145"/>
        <v>0</v>
      </c>
      <c r="Q844">
        <f t="shared" si="146"/>
        <v>0</v>
      </c>
      <c r="R844">
        <f t="shared" si="147"/>
        <v>0</v>
      </c>
      <c r="S844">
        <f t="shared" si="148"/>
        <v>0</v>
      </c>
      <c r="T844">
        <f t="shared" si="149"/>
        <v>0</v>
      </c>
      <c r="U844">
        <f t="shared" si="150"/>
        <v>0</v>
      </c>
      <c r="V844">
        <f t="shared" si="151"/>
        <v>0</v>
      </c>
      <c r="W844">
        <f t="shared" si="152"/>
        <v>0</v>
      </c>
      <c r="X844">
        <f t="shared" si="153"/>
        <v>0</v>
      </c>
      <c r="Y844">
        <f t="shared" si="154"/>
        <v>0</v>
      </c>
      <c r="Z844">
        <f t="shared" si="155"/>
        <v>0</v>
      </c>
      <c r="AA844" t="str">
        <f>INDEX('Priority activities'!$D$5:$D$86,MATCH('Database for analysis'!C844,'Priority activities'!$C$5:$C$86,0))</f>
        <v>n/a</v>
      </c>
    </row>
    <row r="845" spans="2:27" ht="16.5" thickTop="1" thickBot="1" x14ac:dyDescent="0.3">
      <c r="B845" t="s">
        <v>264</v>
      </c>
      <c r="C845" s="22" t="str">
        <f>'Costing inputs'!$C$393</f>
        <v>Advocacy strategy and meetings to donors (F1.2)</v>
      </c>
      <c r="D845" s="22" t="str">
        <f>'Costing inputs'!$U$393</f>
        <v>Central level</v>
      </c>
      <c r="E845" s="22">
        <f>'Regional splits'!$M$14</f>
        <v>0</v>
      </c>
      <c r="F845">
        <v>0</v>
      </c>
      <c r="G845">
        <v>0</v>
      </c>
      <c r="H845">
        <v>0</v>
      </c>
      <c r="I845">
        <v>0</v>
      </c>
      <c r="J845">
        <v>0</v>
      </c>
      <c r="K845">
        <v>0</v>
      </c>
      <c r="L845">
        <v>0</v>
      </c>
      <c r="M845">
        <v>0</v>
      </c>
      <c r="N845">
        <v>0</v>
      </c>
      <c r="O845">
        <v>0</v>
      </c>
      <c r="P845" s="5">
        <f t="shared" si="145"/>
        <v>0</v>
      </c>
      <c r="Q845">
        <f t="shared" si="146"/>
        <v>0</v>
      </c>
      <c r="R845">
        <f t="shared" si="147"/>
        <v>0</v>
      </c>
      <c r="S845">
        <f t="shared" si="148"/>
        <v>0</v>
      </c>
      <c r="T845">
        <f t="shared" si="149"/>
        <v>0</v>
      </c>
      <c r="U845">
        <f t="shared" si="150"/>
        <v>0</v>
      </c>
      <c r="V845">
        <f t="shared" si="151"/>
        <v>0</v>
      </c>
      <c r="W845">
        <f t="shared" si="152"/>
        <v>0</v>
      </c>
      <c r="X845">
        <f t="shared" si="153"/>
        <v>0</v>
      </c>
      <c r="Y845">
        <f t="shared" si="154"/>
        <v>0</v>
      </c>
      <c r="Z845">
        <f t="shared" si="155"/>
        <v>0</v>
      </c>
      <c r="AA845" t="str">
        <f>INDEX('Priority activities'!$D$5:$D$86,MATCH('Database for analysis'!C845,'Priority activities'!$C$5:$C$86,0))</f>
        <v>n/a</v>
      </c>
    </row>
    <row r="846" spans="2:27" ht="16.5" thickTop="1" thickBot="1" x14ac:dyDescent="0.3">
      <c r="B846" t="s">
        <v>264</v>
      </c>
      <c r="C846" s="22" t="str">
        <f>'Costing inputs'!$C$393</f>
        <v>Advocacy strategy and meetings to donors (F1.2)</v>
      </c>
      <c r="D846" s="22" t="str">
        <f>'Costing inputs'!$U$393</f>
        <v>Central level</v>
      </c>
      <c r="E846" s="22">
        <f>'Regional splits'!$N$14</f>
        <v>0</v>
      </c>
      <c r="F846">
        <v>0</v>
      </c>
      <c r="G846">
        <v>0</v>
      </c>
      <c r="H846">
        <v>0</v>
      </c>
      <c r="I846">
        <v>0</v>
      </c>
      <c r="J846">
        <v>0</v>
      </c>
      <c r="K846">
        <v>0</v>
      </c>
      <c r="L846">
        <v>0</v>
      </c>
      <c r="M846">
        <v>0</v>
      </c>
      <c r="N846">
        <v>0</v>
      </c>
      <c r="O846">
        <v>0</v>
      </c>
      <c r="P846" s="5">
        <f t="shared" si="145"/>
        <v>0</v>
      </c>
      <c r="Q846">
        <f t="shared" si="146"/>
        <v>0</v>
      </c>
      <c r="R846">
        <f t="shared" si="147"/>
        <v>0</v>
      </c>
      <c r="S846">
        <f t="shared" si="148"/>
        <v>0</v>
      </c>
      <c r="T846">
        <f t="shared" si="149"/>
        <v>0</v>
      </c>
      <c r="U846">
        <f t="shared" si="150"/>
        <v>0</v>
      </c>
      <c r="V846">
        <f t="shared" si="151"/>
        <v>0</v>
      </c>
      <c r="W846">
        <f t="shared" si="152"/>
        <v>0</v>
      </c>
      <c r="X846">
        <f t="shared" si="153"/>
        <v>0</v>
      </c>
      <c r="Y846">
        <f t="shared" si="154"/>
        <v>0</v>
      </c>
      <c r="Z846">
        <f t="shared" si="155"/>
        <v>0</v>
      </c>
      <c r="AA846" t="str">
        <f>INDEX('Priority activities'!$D$5:$D$86,MATCH('Database for analysis'!C846,'Priority activities'!$C$5:$C$86,0))</f>
        <v>n/a</v>
      </c>
    </row>
    <row r="847" spans="2:27" ht="16.5" thickTop="1" thickBot="1" x14ac:dyDescent="0.3">
      <c r="B847" t="s">
        <v>264</v>
      </c>
      <c r="C847" s="22" t="str">
        <f>'Costing inputs'!$C$393</f>
        <v>Advocacy strategy and meetings to donors (F1.2)</v>
      </c>
      <c r="D847" s="22" t="str">
        <f>'Costing inputs'!$U$393</f>
        <v>Central level</v>
      </c>
      <c r="E847" s="22">
        <f>'Regional splits'!$O$14</f>
        <v>0</v>
      </c>
      <c r="F847">
        <v>0</v>
      </c>
      <c r="G847">
        <v>0</v>
      </c>
      <c r="H847">
        <v>0</v>
      </c>
      <c r="I847">
        <v>0</v>
      </c>
      <c r="J847">
        <v>0</v>
      </c>
      <c r="K847">
        <v>0</v>
      </c>
      <c r="L847">
        <v>0</v>
      </c>
      <c r="M847">
        <v>0</v>
      </c>
      <c r="N847">
        <v>0</v>
      </c>
      <c r="O847">
        <v>0</v>
      </c>
      <c r="P847" s="5">
        <f t="shared" si="145"/>
        <v>0</v>
      </c>
      <c r="Q847">
        <f t="shared" si="146"/>
        <v>0</v>
      </c>
      <c r="R847">
        <f t="shared" si="147"/>
        <v>0</v>
      </c>
      <c r="S847">
        <f t="shared" si="148"/>
        <v>0</v>
      </c>
      <c r="T847">
        <f t="shared" si="149"/>
        <v>0</v>
      </c>
      <c r="U847">
        <f t="shared" si="150"/>
        <v>0</v>
      </c>
      <c r="V847">
        <f t="shared" si="151"/>
        <v>0</v>
      </c>
      <c r="W847">
        <f t="shared" si="152"/>
        <v>0</v>
      </c>
      <c r="X847">
        <f t="shared" si="153"/>
        <v>0</v>
      </c>
      <c r="Y847">
        <f t="shared" si="154"/>
        <v>0</v>
      </c>
      <c r="Z847">
        <f t="shared" si="155"/>
        <v>0</v>
      </c>
      <c r="AA847" t="str">
        <f>INDEX('Priority activities'!$D$5:$D$86,MATCH('Database for analysis'!C847,'Priority activities'!$C$5:$C$86,0))</f>
        <v>n/a</v>
      </c>
    </row>
    <row r="848" spans="2:27" ht="16.5" thickTop="1" thickBot="1" x14ac:dyDescent="0.3">
      <c r="B848" t="s">
        <v>264</v>
      </c>
      <c r="C848" s="22" t="str">
        <f>'Costing inputs'!$C$393</f>
        <v>Advocacy strategy and meetings to donors (F1.2)</v>
      </c>
      <c r="D848" s="22" t="str">
        <f>'Costing inputs'!$U$393</f>
        <v>Central level</v>
      </c>
      <c r="E848" s="22">
        <f>'Regional splits'!$P$14</f>
        <v>0</v>
      </c>
      <c r="F848">
        <v>0</v>
      </c>
      <c r="G848">
        <v>0</v>
      </c>
      <c r="H848">
        <v>0</v>
      </c>
      <c r="I848">
        <v>0</v>
      </c>
      <c r="J848">
        <v>0</v>
      </c>
      <c r="K848">
        <v>0</v>
      </c>
      <c r="L848">
        <v>0</v>
      </c>
      <c r="M848">
        <v>0</v>
      </c>
      <c r="N848">
        <v>0</v>
      </c>
      <c r="O848">
        <v>0</v>
      </c>
      <c r="P848" s="5">
        <f t="shared" si="145"/>
        <v>0</v>
      </c>
      <c r="Q848">
        <f t="shared" si="146"/>
        <v>0</v>
      </c>
      <c r="R848">
        <f t="shared" si="147"/>
        <v>0</v>
      </c>
      <c r="S848">
        <f t="shared" si="148"/>
        <v>0</v>
      </c>
      <c r="T848">
        <f t="shared" si="149"/>
        <v>0</v>
      </c>
      <c r="U848">
        <f t="shared" si="150"/>
        <v>0</v>
      </c>
      <c r="V848">
        <f t="shared" si="151"/>
        <v>0</v>
      </c>
      <c r="W848">
        <f t="shared" si="152"/>
        <v>0</v>
      </c>
      <c r="X848">
        <f t="shared" si="153"/>
        <v>0</v>
      </c>
      <c r="Y848">
        <f t="shared" si="154"/>
        <v>0</v>
      </c>
      <c r="Z848">
        <f t="shared" si="155"/>
        <v>0</v>
      </c>
      <c r="AA848" t="str">
        <f>INDEX('Priority activities'!$D$5:$D$86,MATCH('Database for analysis'!C848,'Priority activities'!$C$5:$C$86,0))</f>
        <v>n/a</v>
      </c>
    </row>
    <row r="849" spans="2:27" ht="16.5" thickTop="1" thickBot="1" x14ac:dyDescent="0.3">
      <c r="B849" t="s">
        <v>264</v>
      </c>
      <c r="C849" s="22" t="str">
        <f>'Costing inputs'!$C$393</f>
        <v>Advocacy strategy and meetings to donors (F1.2)</v>
      </c>
      <c r="D849" s="22" t="str">
        <f>'Costing inputs'!$U$393</f>
        <v>Central level</v>
      </c>
      <c r="E849" s="22">
        <f>'Regional splits'!$Q$14</f>
        <v>0</v>
      </c>
      <c r="F849">
        <v>0</v>
      </c>
      <c r="G849">
        <v>0</v>
      </c>
      <c r="H849">
        <v>0</v>
      </c>
      <c r="I849">
        <v>0</v>
      </c>
      <c r="J849">
        <v>0</v>
      </c>
      <c r="K849">
        <v>0</v>
      </c>
      <c r="L849">
        <v>0</v>
      </c>
      <c r="M849">
        <v>0</v>
      </c>
      <c r="N849">
        <v>0</v>
      </c>
      <c r="O849">
        <v>0</v>
      </c>
      <c r="P849" s="5">
        <f t="shared" si="145"/>
        <v>0</v>
      </c>
      <c r="Q849">
        <f t="shared" si="146"/>
        <v>0</v>
      </c>
      <c r="R849">
        <f t="shared" si="147"/>
        <v>0</v>
      </c>
      <c r="S849">
        <f t="shared" si="148"/>
        <v>0</v>
      </c>
      <c r="T849">
        <f t="shared" si="149"/>
        <v>0</v>
      </c>
      <c r="U849">
        <f t="shared" si="150"/>
        <v>0</v>
      </c>
      <c r="V849">
        <f t="shared" si="151"/>
        <v>0</v>
      </c>
      <c r="W849">
        <f t="shared" si="152"/>
        <v>0</v>
      </c>
      <c r="X849">
        <f t="shared" si="153"/>
        <v>0</v>
      </c>
      <c r="Y849">
        <f t="shared" si="154"/>
        <v>0</v>
      </c>
      <c r="Z849">
        <f t="shared" si="155"/>
        <v>0</v>
      </c>
      <c r="AA849" t="str">
        <f>INDEX('Priority activities'!$D$5:$D$86,MATCH('Database for analysis'!C849,'Priority activities'!$C$5:$C$86,0))</f>
        <v>n/a</v>
      </c>
    </row>
    <row r="850" spans="2:27" ht="16.5" thickTop="1" thickBot="1" x14ac:dyDescent="0.3">
      <c r="B850" t="s">
        <v>264</v>
      </c>
      <c r="C850" s="22" t="str">
        <f>'Costing inputs'!$C$393</f>
        <v>Advocacy strategy and meetings to donors (F1.2)</v>
      </c>
      <c r="D850" s="22" t="str">
        <f>'Costing inputs'!$U$393</f>
        <v>Central level</v>
      </c>
      <c r="E850" s="22" t="str">
        <f>'Regional splits'!$R$14</f>
        <v>National-level</v>
      </c>
      <c r="F850">
        <v>95454.244000000006</v>
      </c>
      <c r="G850">
        <v>0</v>
      </c>
      <c r="H850">
        <v>0</v>
      </c>
      <c r="I850">
        <v>0</v>
      </c>
      <c r="J850">
        <v>0</v>
      </c>
      <c r="K850">
        <v>0</v>
      </c>
      <c r="L850">
        <v>0</v>
      </c>
      <c r="M850">
        <v>0</v>
      </c>
      <c r="N850">
        <v>0</v>
      </c>
      <c r="O850">
        <v>0</v>
      </c>
      <c r="P850" s="5">
        <f t="shared" si="145"/>
        <v>95454.244000000006</v>
      </c>
      <c r="Q850">
        <f t="shared" si="146"/>
        <v>95454.244000000006</v>
      </c>
      <c r="R850">
        <f t="shared" si="147"/>
        <v>0</v>
      </c>
      <c r="S850">
        <f t="shared" si="148"/>
        <v>0</v>
      </c>
      <c r="T850">
        <f t="shared" si="149"/>
        <v>0</v>
      </c>
      <c r="U850">
        <f t="shared" si="150"/>
        <v>0</v>
      </c>
      <c r="V850">
        <f t="shared" si="151"/>
        <v>0</v>
      </c>
      <c r="W850">
        <f t="shared" si="152"/>
        <v>0</v>
      </c>
      <c r="X850">
        <f t="shared" si="153"/>
        <v>0</v>
      </c>
      <c r="Y850">
        <f t="shared" si="154"/>
        <v>0</v>
      </c>
      <c r="Z850">
        <f t="shared" si="155"/>
        <v>0</v>
      </c>
      <c r="AA850" t="str">
        <f>INDEX('Priority activities'!$D$5:$D$86,MATCH('Database for analysis'!C850,'Priority activities'!$C$5:$C$86,0))</f>
        <v>n/a</v>
      </c>
    </row>
    <row r="851" spans="2:27" ht="16.5" thickTop="1" thickBot="1" x14ac:dyDescent="0.3">
      <c r="B851" t="s">
        <v>264</v>
      </c>
      <c r="C851" s="22" t="str">
        <f>'Costing inputs'!$C$397</f>
        <v>Extra financing 2</v>
      </c>
      <c r="D851" s="22">
        <f>'Costing inputs'!$U$397</f>
        <v>0</v>
      </c>
      <c r="E851" s="22" t="str">
        <f>'Regional splits'!$C$14</f>
        <v>Central</v>
      </c>
      <c r="F851" t="e">
        <f t="array" ref="F851:O866">'Costing inputs'!S397*'Costing inputs'!AP397:AY397*TRANSPOSE('Costing inputs'!W397:AL397)</f>
        <v>#N/A</v>
      </c>
      <c r="G851" t="e">
        <v>#N/A</v>
      </c>
      <c r="H851" t="e">
        <v>#N/A</v>
      </c>
      <c r="I851" t="e">
        <v>#N/A</v>
      </c>
      <c r="J851" t="e">
        <v>#N/A</v>
      </c>
      <c r="K851" t="e">
        <v>#N/A</v>
      </c>
      <c r="L851" t="e">
        <v>#N/A</v>
      </c>
      <c r="M851" t="e">
        <v>#N/A</v>
      </c>
      <c r="N851" t="e">
        <v>#N/A</v>
      </c>
      <c r="O851" t="e">
        <v>#N/A</v>
      </c>
      <c r="P851" s="5">
        <f t="shared" si="145"/>
        <v>0</v>
      </c>
      <c r="Q851">
        <f t="shared" si="146"/>
        <v>0</v>
      </c>
      <c r="R851">
        <f t="shared" si="147"/>
        <v>0</v>
      </c>
      <c r="S851">
        <f t="shared" si="148"/>
        <v>0</v>
      </c>
      <c r="T851">
        <f t="shared" si="149"/>
        <v>0</v>
      </c>
      <c r="U851">
        <f t="shared" si="150"/>
        <v>0</v>
      </c>
      <c r="V851">
        <f t="shared" si="151"/>
        <v>0</v>
      </c>
      <c r="W851">
        <f t="shared" si="152"/>
        <v>0</v>
      </c>
      <c r="X851">
        <f t="shared" si="153"/>
        <v>0</v>
      </c>
      <c r="Y851">
        <f t="shared" si="154"/>
        <v>0</v>
      </c>
      <c r="Z851">
        <f t="shared" si="155"/>
        <v>0</v>
      </c>
      <c r="AA851" t="str">
        <f>INDEX('Priority activities'!$D$5:$D$86,MATCH('Database for analysis'!C851,'Priority activities'!$C$5:$C$86,0))</f>
        <v>n/a</v>
      </c>
    </row>
    <row r="852" spans="2:27" ht="16.5" thickTop="1" thickBot="1" x14ac:dyDescent="0.3">
      <c r="B852" t="s">
        <v>264</v>
      </c>
      <c r="C852" s="22" t="str">
        <f>'Costing inputs'!$C$397</f>
        <v>Extra financing 2</v>
      </c>
      <c r="D852" s="22">
        <f>'Costing inputs'!$U$397</f>
        <v>0</v>
      </c>
      <c r="E852" s="22" t="str">
        <f>'Regional splits'!$D$14</f>
        <v>Copperbelt</v>
      </c>
      <c r="F852" t="e">
        <v>#N/A</v>
      </c>
      <c r="G852" t="e">
        <v>#N/A</v>
      </c>
      <c r="H852" t="e">
        <v>#N/A</v>
      </c>
      <c r="I852" t="e">
        <v>#N/A</v>
      </c>
      <c r="J852" t="e">
        <v>#N/A</v>
      </c>
      <c r="K852" t="e">
        <v>#N/A</v>
      </c>
      <c r="L852" t="e">
        <v>#N/A</v>
      </c>
      <c r="M852" t="e">
        <v>#N/A</v>
      </c>
      <c r="N852" t="e">
        <v>#N/A</v>
      </c>
      <c r="O852" t="e">
        <v>#N/A</v>
      </c>
      <c r="P852" s="5">
        <f t="shared" si="145"/>
        <v>0</v>
      </c>
      <c r="Q852">
        <f t="shared" si="146"/>
        <v>0</v>
      </c>
      <c r="R852">
        <f t="shared" si="147"/>
        <v>0</v>
      </c>
      <c r="S852">
        <f t="shared" si="148"/>
        <v>0</v>
      </c>
      <c r="T852">
        <f t="shared" si="149"/>
        <v>0</v>
      </c>
      <c r="U852">
        <f t="shared" si="150"/>
        <v>0</v>
      </c>
      <c r="V852">
        <f t="shared" si="151"/>
        <v>0</v>
      </c>
      <c r="W852">
        <f t="shared" si="152"/>
        <v>0</v>
      </c>
      <c r="X852">
        <f t="shared" si="153"/>
        <v>0</v>
      </c>
      <c r="Y852">
        <f t="shared" si="154"/>
        <v>0</v>
      </c>
      <c r="Z852">
        <f t="shared" si="155"/>
        <v>0</v>
      </c>
      <c r="AA852" t="str">
        <f>INDEX('Priority activities'!$D$5:$D$86,MATCH('Database for analysis'!C852,'Priority activities'!$C$5:$C$86,0))</f>
        <v>n/a</v>
      </c>
    </row>
    <row r="853" spans="2:27" ht="16.5" thickTop="1" thickBot="1" x14ac:dyDescent="0.3">
      <c r="B853" t="s">
        <v>264</v>
      </c>
      <c r="C853" s="22" t="str">
        <f>'Costing inputs'!$C$397</f>
        <v>Extra financing 2</v>
      </c>
      <c r="D853" s="22">
        <f>'Costing inputs'!$U$397</f>
        <v>0</v>
      </c>
      <c r="E853" s="22" t="str">
        <f>'Regional splits'!$E$14</f>
        <v>Eastern</v>
      </c>
      <c r="F853" t="e">
        <v>#N/A</v>
      </c>
      <c r="G853" t="e">
        <v>#N/A</v>
      </c>
      <c r="H853" t="e">
        <v>#N/A</v>
      </c>
      <c r="I853" t="e">
        <v>#N/A</v>
      </c>
      <c r="J853" t="e">
        <v>#N/A</v>
      </c>
      <c r="K853" t="e">
        <v>#N/A</v>
      </c>
      <c r="L853" t="e">
        <v>#N/A</v>
      </c>
      <c r="M853" t="e">
        <v>#N/A</v>
      </c>
      <c r="N853" t="e">
        <v>#N/A</v>
      </c>
      <c r="O853" t="e">
        <v>#N/A</v>
      </c>
      <c r="P853" s="5">
        <f t="shared" si="145"/>
        <v>0</v>
      </c>
      <c r="Q853">
        <f t="shared" si="146"/>
        <v>0</v>
      </c>
      <c r="R853">
        <f t="shared" si="147"/>
        <v>0</v>
      </c>
      <c r="S853">
        <f t="shared" si="148"/>
        <v>0</v>
      </c>
      <c r="T853">
        <f t="shared" si="149"/>
        <v>0</v>
      </c>
      <c r="U853">
        <f t="shared" si="150"/>
        <v>0</v>
      </c>
      <c r="V853">
        <f t="shared" si="151"/>
        <v>0</v>
      </c>
      <c r="W853">
        <f t="shared" si="152"/>
        <v>0</v>
      </c>
      <c r="X853">
        <f t="shared" si="153"/>
        <v>0</v>
      </c>
      <c r="Y853">
        <f t="shared" si="154"/>
        <v>0</v>
      </c>
      <c r="Z853">
        <f t="shared" si="155"/>
        <v>0</v>
      </c>
      <c r="AA853" t="str">
        <f>INDEX('Priority activities'!$D$5:$D$86,MATCH('Database for analysis'!C853,'Priority activities'!$C$5:$C$86,0))</f>
        <v>n/a</v>
      </c>
    </row>
    <row r="854" spans="2:27" ht="16.5" thickTop="1" thickBot="1" x14ac:dyDescent="0.3">
      <c r="B854" t="s">
        <v>264</v>
      </c>
      <c r="C854" s="22" t="str">
        <f>'Costing inputs'!$C$397</f>
        <v>Extra financing 2</v>
      </c>
      <c r="D854" s="22">
        <f>'Costing inputs'!$U$397</f>
        <v>0</v>
      </c>
      <c r="E854" s="22" t="str">
        <f>'Regional splits'!$F$14</f>
        <v>Luapula</v>
      </c>
      <c r="F854" t="e">
        <v>#N/A</v>
      </c>
      <c r="G854" t="e">
        <v>#N/A</v>
      </c>
      <c r="H854" t="e">
        <v>#N/A</v>
      </c>
      <c r="I854" t="e">
        <v>#N/A</v>
      </c>
      <c r="J854" t="e">
        <v>#N/A</v>
      </c>
      <c r="K854" t="e">
        <v>#N/A</v>
      </c>
      <c r="L854" t="e">
        <v>#N/A</v>
      </c>
      <c r="M854" t="e">
        <v>#N/A</v>
      </c>
      <c r="N854" t="e">
        <v>#N/A</v>
      </c>
      <c r="O854" t="e">
        <v>#N/A</v>
      </c>
      <c r="P854" s="5">
        <f t="shared" si="145"/>
        <v>0</v>
      </c>
      <c r="Q854">
        <f t="shared" si="146"/>
        <v>0</v>
      </c>
      <c r="R854">
        <f t="shared" si="147"/>
        <v>0</v>
      </c>
      <c r="S854">
        <f t="shared" si="148"/>
        <v>0</v>
      </c>
      <c r="T854">
        <f t="shared" si="149"/>
        <v>0</v>
      </c>
      <c r="U854">
        <f t="shared" si="150"/>
        <v>0</v>
      </c>
      <c r="V854">
        <f t="shared" si="151"/>
        <v>0</v>
      </c>
      <c r="W854">
        <f t="shared" si="152"/>
        <v>0</v>
      </c>
      <c r="X854">
        <f t="shared" si="153"/>
        <v>0</v>
      </c>
      <c r="Y854">
        <f t="shared" si="154"/>
        <v>0</v>
      </c>
      <c r="Z854">
        <f t="shared" si="155"/>
        <v>0</v>
      </c>
      <c r="AA854" t="str">
        <f>INDEX('Priority activities'!$D$5:$D$86,MATCH('Database for analysis'!C854,'Priority activities'!$C$5:$C$86,0))</f>
        <v>n/a</v>
      </c>
    </row>
    <row r="855" spans="2:27" ht="16.5" thickTop="1" thickBot="1" x14ac:dyDescent="0.3">
      <c r="B855" t="s">
        <v>264</v>
      </c>
      <c r="C855" s="22" t="str">
        <f>'Costing inputs'!$C$397</f>
        <v>Extra financing 2</v>
      </c>
      <c r="D855" s="22">
        <f>'Costing inputs'!$U$397</f>
        <v>0</v>
      </c>
      <c r="E855" s="22" t="str">
        <f>'Regional splits'!$G$14</f>
        <v>Lusaka</v>
      </c>
      <c r="F855" t="e">
        <v>#N/A</v>
      </c>
      <c r="G855" t="e">
        <v>#N/A</v>
      </c>
      <c r="H855" t="e">
        <v>#N/A</v>
      </c>
      <c r="I855" t="e">
        <v>#N/A</v>
      </c>
      <c r="J855" t="e">
        <v>#N/A</v>
      </c>
      <c r="K855" t="e">
        <v>#N/A</v>
      </c>
      <c r="L855" t="e">
        <v>#N/A</v>
      </c>
      <c r="M855" t="e">
        <v>#N/A</v>
      </c>
      <c r="N855" t="e">
        <v>#N/A</v>
      </c>
      <c r="O855" t="e">
        <v>#N/A</v>
      </c>
      <c r="P855" s="5">
        <f t="shared" si="145"/>
        <v>0</v>
      </c>
      <c r="Q855">
        <f t="shared" si="146"/>
        <v>0</v>
      </c>
      <c r="R855">
        <f t="shared" si="147"/>
        <v>0</v>
      </c>
      <c r="S855">
        <f t="shared" si="148"/>
        <v>0</v>
      </c>
      <c r="T855">
        <f t="shared" si="149"/>
        <v>0</v>
      </c>
      <c r="U855">
        <f t="shared" si="150"/>
        <v>0</v>
      </c>
      <c r="V855">
        <f t="shared" si="151"/>
        <v>0</v>
      </c>
      <c r="W855">
        <f t="shared" si="152"/>
        <v>0</v>
      </c>
      <c r="X855">
        <f t="shared" si="153"/>
        <v>0</v>
      </c>
      <c r="Y855">
        <f t="shared" si="154"/>
        <v>0</v>
      </c>
      <c r="Z855">
        <f t="shared" si="155"/>
        <v>0</v>
      </c>
      <c r="AA855" t="str">
        <f>INDEX('Priority activities'!$D$5:$D$86,MATCH('Database for analysis'!C855,'Priority activities'!$C$5:$C$86,0))</f>
        <v>n/a</v>
      </c>
    </row>
    <row r="856" spans="2:27" ht="16.5" thickTop="1" thickBot="1" x14ac:dyDescent="0.3">
      <c r="B856" t="s">
        <v>264</v>
      </c>
      <c r="C856" s="22" t="str">
        <f>'Costing inputs'!$C$397</f>
        <v>Extra financing 2</v>
      </c>
      <c r="D856" s="22">
        <f>'Costing inputs'!$U$397</f>
        <v>0</v>
      </c>
      <c r="E856" s="22" t="str">
        <f>'Regional splits'!$H$14</f>
        <v>Muchinga</v>
      </c>
      <c r="F856" t="e">
        <v>#N/A</v>
      </c>
      <c r="G856" t="e">
        <v>#N/A</v>
      </c>
      <c r="H856" t="e">
        <v>#N/A</v>
      </c>
      <c r="I856" t="e">
        <v>#N/A</v>
      </c>
      <c r="J856" t="e">
        <v>#N/A</v>
      </c>
      <c r="K856" t="e">
        <v>#N/A</v>
      </c>
      <c r="L856" t="e">
        <v>#N/A</v>
      </c>
      <c r="M856" t="e">
        <v>#N/A</v>
      </c>
      <c r="N856" t="e">
        <v>#N/A</v>
      </c>
      <c r="O856" t="e">
        <v>#N/A</v>
      </c>
      <c r="P856" s="5">
        <f t="shared" si="145"/>
        <v>0</v>
      </c>
      <c r="Q856">
        <f t="shared" si="146"/>
        <v>0</v>
      </c>
      <c r="R856">
        <f t="shared" si="147"/>
        <v>0</v>
      </c>
      <c r="S856">
        <f t="shared" si="148"/>
        <v>0</v>
      </c>
      <c r="T856">
        <f t="shared" si="149"/>
        <v>0</v>
      </c>
      <c r="U856">
        <f t="shared" si="150"/>
        <v>0</v>
      </c>
      <c r="V856">
        <f t="shared" si="151"/>
        <v>0</v>
      </c>
      <c r="W856">
        <f t="shared" si="152"/>
        <v>0</v>
      </c>
      <c r="X856">
        <f t="shared" si="153"/>
        <v>0</v>
      </c>
      <c r="Y856">
        <f t="shared" si="154"/>
        <v>0</v>
      </c>
      <c r="Z856">
        <f t="shared" si="155"/>
        <v>0</v>
      </c>
      <c r="AA856" t="str">
        <f>INDEX('Priority activities'!$D$5:$D$86,MATCH('Database for analysis'!C856,'Priority activities'!$C$5:$C$86,0))</f>
        <v>n/a</v>
      </c>
    </row>
    <row r="857" spans="2:27" ht="16.5" thickTop="1" thickBot="1" x14ac:dyDescent="0.3">
      <c r="B857" t="s">
        <v>264</v>
      </c>
      <c r="C857" s="22" t="str">
        <f>'Costing inputs'!$C$397</f>
        <v>Extra financing 2</v>
      </c>
      <c r="D857" s="22">
        <f>'Costing inputs'!$U$397</f>
        <v>0</v>
      </c>
      <c r="E857" s="22" t="str">
        <f>'Regional splits'!$I$14</f>
        <v>Northern</v>
      </c>
      <c r="F857" t="e">
        <v>#N/A</v>
      </c>
      <c r="G857" t="e">
        <v>#N/A</v>
      </c>
      <c r="H857" t="e">
        <v>#N/A</v>
      </c>
      <c r="I857" t="e">
        <v>#N/A</v>
      </c>
      <c r="J857" t="e">
        <v>#N/A</v>
      </c>
      <c r="K857" t="e">
        <v>#N/A</v>
      </c>
      <c r="L857" t="e">
        <v>#N/A</v>
      </c>
      <c r="M857" t="e">
        <v>#N/A</v>
      </c>
      <c r="N857" t="e">
        <v>#N/A</v>
      </c>
      <c r="O857" t="e">
        <v>#N/A</v>
      </c>
      <c r="P857" s="5">
        <f t="shared" si="145"/>
        <v>0</v>
      </c>
      <c r="Q857">
        <f t="shared" si="146"/>
        <v>0</v>
      </c>
      <c r="R857">
        <f t="shared" si="147"/>
        <v>0</v>
      </c>
      <c r="S857">
        <f t="shared" si="148"/>
        <v>0</v>
      </c>
      <c r="T857">
        <f t="shared" si="149"/>
        <v>0</v>
      </c>
      <c r="U857">
        <f t="shared" si="150"/>
        <v>0</v>
      </c>
      <c r="V857">
        <f t="shared" si="151"/>
        <v>0</v>
      </c>
      <c r="W857">
        <f t="shared" si="152"/>
        <v>0</v>
      </c>
      <c r="X857">
        <f t="shared" si="153"/>
        <v>0</v>
      </c>
      <c r="Y857">
        <f t="shared" si="154"/>
        <v>0</v>
      </c>
      <c r="Z857">
        <f t="shared" si="155"/>
        <v>0</v>
      </c>
      <c r="AA857" t="str">
        <f>INDEX('Priority activities'!$D$5:$D$86,MATCH('Database for analysis'!C857,'Priority activities'!$C$5:$C$86,0))</f>
        <v>n/a</v>
      </c>
    </row>
    <row r="858" spans="2:27" ht="16.5" thickTop="1" thickBot="1" x14ac:dyDescent="0.3">
      <c r="B858" t="s">
        <v>264</v>
      </c>
      <c r="C858" s="22" t="str">
        <f>'Costing inputs'!$C$397</f>
        <v>Extra financing 2</v>
      </c>
      <c r="D858" s="22">
        <f>'Costing inputs'!$U$397</f>
        <v>0</v>
      </c>
      <c r="E858" s="22" t="str">
        <f>'Regional splits'!$J$14</f>
        <v>North Western</v>
      </c>
      <c r="F858" t="e">
        <v>#N/A</v>
      </c>
      <c r="G858" t="e">
        <v>#N/A</v>
      </c>
      <c r="H858" t="e">
        <v>#N/A</v>
      </c>
      <c r="I858" t="e">
        <v>#N/A</v>
      </c>
      <c r="J858" t="e">
        <v>#N/A</v>
      </c>
      <c r="K858" t="e">
        <v>#N/A</v>
      </c>
      <c r="L858" t="e">
        <v>#N/A</v>
      </c>
      <c r="M858" t="e">
        <v>#N/A</v>
      </c>
      <c r="N858" t="e">
        <v>#N/A</v>
      </c>
      <c r="O858" t="e">
        <v>#N/A</v>
      </c>
      <c r="P858" s="5">
        <f t="shared" si="145"/>
        <v>0</v>
      </c>
      <c r="Q858">
        <f t="shared" si="146"/>
        <v>0</v>
      </c>
      <c r="R858">
        <f t="shared" si="147"/>
        <v>0</v>
      </c>
      <c r="S858">
        <f t="shared" si="148"/>
        <v>0</v>
      </c>
      <c r="T858">
        <f t="shared" si="149"/>
        <v>0</v>
      </c>
      <c r="U858">
        <f t="shared" si="150"/>
        <v>0</v>
      </c>
      <c r="V858">
        <f t="shared" si="151"/>
        <v>0</v>
      </c>
      <c r="W858">
        <f t="shared" si="152"/>
        <v>0</v>
      </c>
      <c r="X858">
        <f t="shared" si="153"/>
        <v>0</v>
      </c>
      <c r="Y858">
        <f t="shared" si="154"/>
        <v>0</v>
      </c>
      <c r="Z858">
        <f t="shared" si="155"/>
        <v>0</v>
      </c>
      <c r="AA858" t="str">
        <f>INDEX('Priority activities'!$D$5:$D$86,MATCH('Database for analysis'!C858,'Priority activities'!$C$5:$C$86,0))</f>
        <v>n/a</v>
      </c>
    </row>
    <row r="859" spans="2:27" ht="16.5" thickTop="1" thickBot="1" x14ac:dyDescent="0.3">
      <c r="B859" t="s">
        <v>264</v>
      </c>
      <c r="C859" s="22" t="str">
        <f>'Costing inputs'!$C$397</f>
        <v>Extra financing 2</v>
      </c>
      <c r="D859" s="22">
        <f>'Costing inputs'!$U$397</f>
        <v>0</v>
      </c>
      <c r="E859" s="22" t="str">
        <f>'Regional splits'!$K$14</f>
        <v>Southern</v>
      </c>
      <c r="F859" t="e">
        <v>#N/A</v>
      </c>
      <c r="G859" t="e">
        <v>#N/A</v>
      </c>
      <c r="H859" t="e">
        <v>#N/A</v>
      </c>
      <c r="I859" t="e">
        <v>#N/A</v>
      </c>
      <c r="J859" t="e">
        <v>#N/A</v>
      </c>
      <c r="K859" t="e">
        <v>#N/A</v>
      </c>
      <c r="L859" t="e">
        <v>#N/A</v>
      </c>
      <c r="M859" t="e">
        <v>#N/A</v>
      </c>
      <c r="N859" t="e">
        <v>#N/A</v>
      </c>
      <c r="O859" t="e">
        <v>#N/A</v>
      </c>
      <c r="P859" s="5">
        <f t="shared" si="145"/>
        <v>0</v>
      </c>
      <c r="Q859">
        <f t="shared" si="146"/>
        <v>0</v>
      </c>
      <c r="R859">
        <f t="shared" si="147"/>
        <v>0</v>
      </c>
      <c r="S859">
        <f t="shared" si="148"/>
        <v>0</v>
      </c>
      <c r="T859">
        <f t="shared" si="149"/>
        <v>0</v>
      </c>
      <c r="U859">
        <f t="shared" si="150"/>
        <v>0</v>
      </c>
      <c r="V859">
        <f t="shared" si="151"/>
        <v>0</v>
      </c>
      <c r="W859">
        <f t="shared" si="152"/>
        <v>0</v>
      </c>
      <c r="X859">
        <f t="shared" si="153"/>
        <v>0</v>
      </c>
      <c r="Y859">
        <f t="shared" si="154"/>
        <v>0</v>
      </c>
      <c r="Z859">
        <f t="shared" si="155"/>
        <v>0</v>
      </c>
      <c r="AA859" t="str">
        <f>INDEX('Priority activities'!$D$5:$D$86,MATCH('Database for analysis'!C859,'Priority activities'!$C$5:$C$86,0))</f>
        <v>n/a</v>
      </c>
    </row>
    <row r="860" spans="2:27" ht="16.5" thickTop="1" thickBot="1" x14ac:dyDescent="0.3">
      <c r="B860" t="s">
        <v>264</v>
      </c>
      <c r="C860" s="22" t="str">
        <f>'Costing inputs'!$C$397</f>
        <v>Extra financing 2</v>
      </c>
      <c r="D860" s="22">
        <f>'Costing inputs'!$U$397</f>
        <v>0</v>
      </c>
      <c r="E860" s="22" t="str">
        <f>'Regional splits'!$L$14</f>
        <v>Western</v>
      </c>
      <c r="F860" t="e">
        <v>#N/A</v>
      </c>
      <c r="G860" t="e">
        <v>#N/A</v>
      </c>
      <c r="H860" t="e">
        <v>#N/A</v>
      </c>
      <c r="I860" t="e">
        <v>#N/A</v>
      </c>
      <c r="J860" t="e">
        <v>#N/A</v>
      </c>
      <c r="K860" t="e">
        <v>#N/A</v>
      </c>
      <c r="L860" t="e">
        <v>#N/A</v>
      </c>
      <c r="M860" t="e">
        <v>#N/A</v>
      </c>
      <c r="N860" t="e">
        <v>#N/A</v>
      </c>
      <c r="O860" t="e">
        <v>#N/A</v>
      </c>
      <c r="P860" s="5">
        <f t="shared" si="145"/>
        <v>0</v>
      </c>
      <c r="Q860">
        <f t="shared" si="146"/>
        <v>0</v>
      </c>
      <c r="R860">
        <f t="shared" si="147"/>
        <v>0</v>
      </c>
      <c r="S860">
        <f t="shared" si="148"/>
        <v>0</v>
      </c>
      <c r="T860">
        <f t="shared" si="149"/>
        <v>0</v>
      </c>
      <c r="U860">
        <f t="shared" si="150"/>
        <v>0</v>
      </c>
      <c r="V860">
        <f t="shared" si="151"/>
        <v>0</v>
      </c>
      <c r="W860">
        <f t="shared" si="152"/>
        <v>0</v>
      </c>
      <c r="X860">
        <f t="shared" si="153"/>
        <v>0</v>
      </c>
      <c r="Y860">
        <f t="shared" si="154"/>
        <v>0</v>
      </c>
      <c r="Z860">
        <f t="shared" si="155"/>
        <v>0</v>
      </c>
      <c r="AA860" t="str">
        <f>INDEX('Priority activities'!$D$5:$D$86,MATCH('Database for analysis'!C860,'Priority activities'!$C$5:$C$86,0))</f>
        <v>n/a</v>
      </c>
    </row>
    <row r="861" spans="2:27" ht="16.5" thickTop="1" thickBot="1" x14ac:dyDescent="0.3">
      <c r="B861" t="s">
        <v>264</v>
      </c>
      <c r="C861" s="22" t="str">
        <f>'Costing inputs'!$C$397</f>
        <v>Extra financing 2</v>
      </c>
      <c r="D861" s="22">
        <f>'Costing inputs'!$U$397</f>
        <v>0</v>
      </c>
      <c r="E861" s="22">
        <f>'Regional splits'!$M$14</f>
        <v>0</v>
      </c>
      <c r="F861" t="e">
        <v>#N/A</v>
      </c>
      <c r="G861" t="e">
        <v>#N/A</v>
      </c>
      <c r="H861" t="e">
        <v>#N/A</v>
      </c>
      <c r="I861" t="e">
        <v>#N/A</v>
      </c>
      <c r="J861" t="e">
        <v>#N/A</v>
      </c>
      <c r="K861" t="e">
        <v>#N/A</v>
      </c>
      <c r="L861" t="e">
        <v>#N/A</v>
      </c>
      <c r="M861" t="e">
        <v>#N/A</v>
      </c>
      <c r="N861" t="e">
        <v>#N/A</v>
      </c>
      <c r="O861" t="e">
        <v>#N/A</v>
      </c>
      <c r="P861" s="5">
        <f t="shared" si="145"/>
        <v>0</v>
      </c>
      <c r="Q861">
        <f t="shared" si="146"/>
        <v>0</v>
      </c>
      <c r="R861">
        <f t="shared" si="147"/>
        <v>0</v>
      </c>
      <c r="S861">
        <f t="shared" si="148"/>
        <v>0</v>
      </c>
      <c r="T861">
        <f t="shared" si="149"/>
        <v>0</v>
      </c>
      <c r="U861">
        <f t="shared" si="150"/>
        <v>0</v>
      </c>
      <c r="V861">
        <f t="shared" si="151"/>
        <v>0</v>
      </c>
      <c r="W861">
        <f t="shared" si="152"/>
        <v>0</v>
      </c>
      <c r="X861">
        <f t="shared" si="153"/>
        <v>0</v>
      </c>
      <c r="Y861">
        <f t="shared" si="154"/>
        <v>0</v>
      </c>
      <c r="Z861">
        <f t="shared" si="155"/>
        <v>0</v>
      </c>
      <c r="AA861" t="str">
        <f>INDEX('Priority activities'!$D$5:$D$86,MATCH('Database for analysis'!C861,'Priority activities'!$C$5:$C$86,0))</f>
        <v>n/a</v>
      </c>
    </row>
    <row r="862" spans="2:27" ht="16.5" thickTop="1" thickBot="1" x14ac:dyDescent="0.3">
      <c r="B862" t="s">
        <v>264</v>
      </c>
      <c r="C862" s="22" t="str">
        <f>'Costing inputs'!$C$397</f>
        <v>Extra financing 2</v>
      </c>
      <c r="D862" s="22">
        <f>'Costing inputs'!$U$397</f>
        <v>0</v>
      </c>
      <c r="E862" s="22">
        <f>'Regional splits'!$N$14</f>
        <v>0</v>
      </c>
      <c r="F862" t="e">
        <v>#N/A</v>
      </c>
      <c r="G862" t="e">
        <v>#N/A</v>
      </c>
      <c r="H862" t="e">
        <v>#N/A</v>
      </c>
      <c r="I862" t="e">
        <v>#N/A</v>
      </c>
      <c r="J862" t="e">
        <v>#N/A</v>
      </c>
      <c r="K862" t="e">
        <v>#N/A</v>
      </c>
      <c r="L862" t="e">
        <v>#N/A</v>
      </c>
      <c r="M862" t="e">
        <v>#N/A</v>
      </c>
      <c r="N862" t="e">
        <v>#N/A</v>
      </c>
      <c r="O862" t="e">
        <v>#N/A</v>
      </c>
      <c r="P862" s="5">
        <f t="shared" si="145"/>
        <v>0</v>
      </c>
      <c r="Q862">
        <f t="shared" si="146"/>
        <v>0</v>
      </c>
      <c r="R862">
        <f t="shared" si="147"/>
        <v>0</v>
      </c>
      <c r="S862">
        <f t="shared" si="148"/>
        <v>0</v>
      </c>
      <c r="T862">
        <f t="shared" si="149"/>
        <v>0</v>
      </c>
      <c r="U862">
        <f t="shared" si="150"/>
        <v>0</v>
      </c>
      <c r="V862">
        <f t="shared" si="151"/>
        <v>0</v>
      </c>
      <c r="W862">
        <f t="shared" si="152"/>
        <v>0</v>
      </c>
      <c r="X862">
        <f t="shared" si="153"/>
        <v>0</v>
      </c>
      <c r="Y862">
        <f t="shared" si="154"/>
        <v>0</v>
      </c>
      <c r="Z862">
        <f t="shared" si="155"/>
        <v>0</v>
      </c>
      <c r="AA862" t="str">
        <f>INDEX('Priority activities'!$D$5:$D$86,MATCH('Database for analysis'!C862,'Priority activities'!$C$5:$C$86,0))</f>
        <v>n/a</v>
      </c>
    </row>
    <row r="863" spans="2:27" ht="16.5" thickTop="1" thickBot="1" x14ac:dyDescent="0.3">
      <c r="B863" t="s">
        <v>264</v>
      </c>
      <c r="C863" s="22" t="str">
        <f>'Costing inputs'!$C$397</f>
        <v>Extra financing 2</v>
      </c>
      <c r="D863" s="22">
        <f>'Costing inputs'!$U$397</f>
        <v>0</v>
      </c>
      <c r="E863" s="22">
        <f>'Regional splits'!$O$14</f>
        <v>0</v>
      </c>
      <c r="F863" t="e">
        <v>#N/A</v>
      </c>
      <c r="G863" t="e">
        <v>#N/A</v>
      </c>
      <c r="H863" t="e">
        <v>#N/A</v>
      </c>
      <c r="I863" t="e">
        <v>#N/A</v>
      </c>
      <c r="J863" t="e">
        <v>#N/A</v>
      </c>
      <c r="K863" t="e">
        <v>#N/A</v>
      </c>
      <c r="L863" t="e">
        <v>#N/A</v>
      </c>
      <c r="M863" t="e">
        <v>#N/A</v>
      </c>
      <c r="N863" t="e">
        <v>#N/A</v>
      </c>
      <c r="O863" t="e">
        <v>#N/A</v>
      </c>
      <c r="P863" s="5">
        <f t="shared" si="145"/>
        <v>0</v>
      </c>
      <c r="Q863">
        <f t="shared" si="146"/>
        <v>0</v>
      </c>
      <c r="R863">
        <f t="shared" si="147"/>
        <v>0</v>
      </c>
      <c r="S863">
        <f t="shared" si="148"/>
        <v>0</v>
      </c>
      <c r="T863">
        <f t="shared" si="149"/>
        <v>0</v>
      </c>
      <c r="U863">
        <f t="shared" si="150"/>
        <v>0</v>
      </c>
      <c r="V863">
        <f t="shared" si="151"/>
        <v>0</v>
      </c>
      <c r="W863">
        <f t="shared" si="152"/>
        <v>0</v>
      </c>
      <c r="X863">
        <f t="shared" si="153"/>
        <v>0</v>
      </c>
      <c r="Y863">
        <f t="shared" si="154"/>
        <v>0</v>
      </c>
      <c r="Z863">
        <f t="shared" si="155"/>
        <v>0</v>
      </c>
      <c r="AA863" t="str">
        <f>INDEX('Priority activities'!$D$5:$D$86,MATCH('Database for analysis'!C863,'Priority activities'!$C$5:$C$86,0))</f>
        <v>n/a</v>
      </c>
    </row>
    <row r="864" spans="2:27" ht="16.5" thickTop="1" thickBot="1" x14ac:dyDescent="0.3">
      <c r="B864" t="s">
        <v>264</v>
      </c>
      <c r="C864" s="22" t="str">
        <f>'Costing inputs'!$C$397</f>
        <v>Extra financing 2</v>
      </c>
      <c r="D864" s="22">
        <f>'Costing inputs'!$U$397</f>
        <v>0</v>
      </c>
      <c r="E864" s="22">
        <f>'Regional splits'!$P$14</f>
        <v>0</v>
      </c>
      <c r="F864" t="e">
        <v>#N/A</v>
      </c>
      <c r="G864" t="e">
        <v>#N/A</v>
      </c>
      <c r="H864" t="e">
        <v>#N/A</v>
      </c>
      <c r="I864" t="e">
        <v>#N/A</v>
      </c>
      <c r="J864" t="e">
        <v>#N/A</v>
      </c>
      <c r="K864" t="e">
        <v>#N/A</v>
      </c>
      <c r="L864" t="e">
        <v>#N/A</v>
      </c>
      <c r="M864" t="e">
        <v>#N/A</v>
      </c>
      <c r="N864" t="e">
        <v>#N/A</v>
      </c>
      <c r="O864" t="e">
        <v>#N/A</v>
      </c>
      <c r="P864" s="5">
        <f t="shared" si="145"/>
        <v>0</v>
      </c>
      <c r="Q864">
        <f t="shared" si="146"/>
        <v>0</v>
      </c>
      <c r="R864">
        <f t="shared" si="147"/>
        <v>0</v>
      </c>
      <c r="S864">
        <f t="shared" si="148"/>
        <v>0</v>
      </c>
      <c r="T864">
        <f t="shared" si="149"/>
        <v>0</v>
      </c>
      <c r="U864">
        <f t="shared" si="150"/>
        <v>0</v>
      </c>
      <c r="V864">
        <f t="shared" si="151"/>
        <v>0</v>
      </c>
      <c r="W864">
        <f t="shared" si="152"/>
        <v>0</v>
      </c>
      <c r="X864">
        <f t="shared" si="153"/>
        <v>0</v>
      </c>
      <c r="Y864">
        <f t="shared" si="154"/>
        <v>0</v>
      </c>
      <c r="Z864">
        <f t="shared" si="155"/>
        <v>0</v>
      </c>
      <c r="AA864" t="str">
        <f>INDEX('Priority activities'!$D$5:$D$86,MATCH('Database for analysis'!C864,'Priority activities'!$C$5:$C$86,0))</f>
        <v>n/a</v>
      </c>
    </row>
    <row r="865" spans="2:27" ht="16.5" thickTop="1" thickBot="1" x14ac:dyDescent="0.3">
      <c r="B865" t="s">
        <v>264</v>
      </c>
      <c r="C865" s="22" t="str">
        <f>'Costing inputs'!$C$397</f>
        <v>Extra financing 2</v>
      </c>
      <c r="D865" s="22">
        <f>'Costing inputs'!$U$397</f>
        <v>0</v>
      </c>
      <c r="E865" s="22">
        <f>'Regional splits'!$Q$14</f>
        <v>0</v>
      </c>
      <c r="F865" t="e">
        <v>#N/A</v>
      </c>
      <c r="G865" t="e">
        <v>#N/A</v>
      </c>
      <c r="H865" t="e">
        <v>#N/A</v>
      </c>
      <c r="I865" t="e">
        <v>#N/A</v>
      </c>
      <c r="J865" t="e">
        <v>#N/A</v>
      </c>
      <c r="K865" t="e">
        <v>#N/A</v>
      </c>
      <c r="L865" t="e">
        <v>#N/A</v>
      </c>
      <c r="M865" t="e">
        <v>#N/A</v>
      </c>
      <c r="N865" t="e">
        <v>#N/A</v>
      </c>
      <c r="O865" t="e">
        <v>#N/A</v>
      </c>
      <c r="P865" s="5">
        <f t="shared" si="145"/>
        <v>0</v>
      </c>
      <c r="Q865">
        <f t="shared" si="146"/>
        <v>0</v>
      </c>
      <c r="R865">
        <f t="shared" si="147"/>
        <v>0</v>
      </c>
      <c r="S865">
        <f t="shared" si="148"/>
        <v>0</v>
      </c>
      <c r="T865">
        <f t="shared" si="149"/>
        <v>0</v>
      </c>
      <c r="U865">
        <f t="shared" si="150"/>
        <v>0</v>
      </c>
      <c r="V865">
        <f t="shared" si="151"/>
        <v>0</v>
      </c>
      <c r="W865">
        <f t="shared" si="152"/>
        <v>0</v>
      </c>
      <c r="X865">
        <f t="shared" si="153"/>
        <v>0</v>
      </c>
      <c r="Y865">
        <f t="shared" si="154"/>
        <v>0</v>
      </c>
      <c r="Z865">
        <f t="shared" si="155"/>
        <v>0</v>
      </c>
      <c r="AA865" t="str">
        <f>INDEX('Priority activities'!$D$5:$D$86,MATCH('Database for analysis'!C865,'Priority activities'!$C$5:$C$86,0))</f>
        <v>n/a</v>
      </c>
    </row>
    <row r="866" spans="2:27" ht="16.5" thickTop="1" thickBot="1" x14ac:dyDescent="0.3">
      <c r="B866" t="s">
        <v>264</v>
      </c>
      <c r="C866" s="22" t="str">
        <f>'Costing inputs'!$C$397</f>
        <v>Extra financing 2</v>
      </c>
      <c r="D866" s="22">
        <f>'Costing inputs'!$U$397</f>
        <v>0</v>
      </c>
      <c r="E866" s="22" t="str">
        <f>'Regional splits'!$R$14</f>
        <v>National-level</v>
      </c>
      <c r="F866" t="e">
        <v>#N/A</v>
      </c>
      <c r="G866" t="e">
        <v>#N/A</v>
      </c>
      <c r="H866" t="e">
        <v>#N/A</v>
      </c>
      <c r="I866" t="e">
        <v>#N/A</v>
      </c>
      <c r="J866" t="e">
        <v>#N/A</v>
      </c>
      <c r="K866" t="e">
        <v>#N/A</v>
      </c>
      <c r="L866" t="e">
        <v>#N/A</v>
      </c>
      <c r="M866" t="e">
        <v>#N/A</v>
      </c>
      <c r="N866" t="e">
        <v>#N/A</v>
      </c>
      <c r="O866" t="e">
        <v>#N/A</v>
      </c>
      <c r="P866" s="5">
        <f t="shared" si="145"/>
        <v>0</v>
      </c>
      <c r="Q866">
        <f t="shared" si="146"/>
        <v>0</v>
      </c>
      <c r="R866">
        <f t="shared" si="147"/>
        <v>0</v>
      </c>
      <c r="S866">
        <f t="shared" si="148"/>
        <v>0</v>
      </c>
      <c r="T866">
        <f t="shared" si="149"/>
        <v>0</v>
      </c>
      <c r="U866">
        <f t="shared" si="150"/>
        <v>0</v>
      </c>
      <c r="V866">
        <f t="shared" si="151"/>
        <v>0</v>
      </c>
      <c r="W866">
        <f t="shared" si="152"/>
        <v>0</v>
      </c>
      <c r="X866">
        <f t="shared" si="153"/>
        <v>0</v>
      </c>
      <c r="Y866">
        <f t="shared" si="154"/>
        <v>0</v>
      </c>
      <c r="Z866">
        <f t="shared" si="155"/>
        <v>0</v>
      </c>
      <c r="AA866" t="str">
        <f>INDEX('Priority activities'!$D$5:$D$86,MATCH('Database for analysis'!C866,'Priority activities'!$C$5:$C$86,0))</f>
        <v>n/a</v>
      </c>
    </row>
    <row r="867" spans="2:27" ht="16.5" thickTop="1" thickBot="1" x14ac:dyDescent="0.3">
      <c r="B867" t="s">
        <v>264</v>
      </c>
      <c r="C867" s="22" t="str">
        <f>'Costing inputs'!$C$399</f>
        <v>Extra financing 3</v>
      </c>
      <c r="D867" s="22">
        <f>'Costing inputs'!$U$399</f>
        <v>0</v>
      </c>
      <c r="E867" s="22" t="str">
        <f>'Regional splits'!$C$14</f>
        <v>Central</v>
      </c>
      <c r="F867" t="e">
        <f t="array" ref="F867:O882">'Costing inputs'!S399*'Costing inputs'!AP399:AY399*TRANSPOSE('Costing inputs'!W399:AL399)</f>
        <v>#N/A</v>
      </c>
      <c r="G867" t="e">
        <v>#N/A</v>
      </c>
      <c r="H867" t="e">
        <v>#N/A</v>
      </c>
      <c r="I867" t="e">
        <v>#N/A</v>
      </c>
      <c r="J867" t="e">
        <v>#N/A</v>
      </c>
      <c r="K867" t="e">
        <v>#N/A</v>
      </c>
      <c r="L867" t="e">
        <v>#N/A</v>
      </c>
      <c r="M867" t="e">
        <v>#N/A</v>
      </c>
      <c r="N867" t="e">
        <v>#N/A</v>
      </c>
      <c r="O867" t="e">
        <v>#N/A</v>
      </c>
      <c r="P867" s="5">
        <f t="shared" si="145"/>
        <v>0</v>
      </c>
      <c r="Q867">
        <f t="shared" si="146"/>
        <v>0</v>
      </c>
      <c r="R867">
        <f t="shared" si="147"/>
        <v>0</v>
      </c>
      <c r="S867">
        <f t="shared" si="148"/>
        <v>0</v>
      </c>
      <c r="T867">
        <f t="shared" si="149"/>
        <v>0</v>
      </c>
      <c r="U867">
        <f t="shared" si="150"/>
        <v>0</v>
      </c>
      <c r="V867">
        <f t="shared" si="151"/>
        <v>0</v>
      </c>
      <c r="W867">
        <f t="shared" si="152"/>
        <v>0</v>
      </c>
      <c r="X867">
        <f t="shared" si="153"/>
        <v>0</v>
      </c>
      <c r="Y867">
        <f t="shared" si="154"/>
        <v>0</v>
      </c>
      <c r="Z867">
        <f t="shared" si="155"/>
        <v>0</v>
      </c>
      <c r="AA867" t="str">
        <f>INDEX('Priority activities'!$D$5:$D$86,MATCH('Database for analysis'!C867,'Priority activities'!$C$5:$C$86,0))</f>
        <v>n/a</v>
      </c>
    </row>
    <row r="868" spans="2:27" ht="16.5" thickTop="1" thickBot="1" x14ac:dyDescent="0.3">
      <c r="B868" t="s">
        <v>264</v>
      </c>
      <c r="C868" s="22" t="str">
        <f>'Costing inputs'!$C$399</f>
        <v>Extra financing 3</v>
      </c>
      <c r="D868" s="22">
        <f>'Costing inputs'!$U$399</f>
        <v>0</v>
      </c>
      <c r="E868" s="22" t="str">
        <f>'Regional splits'!$D$14</f>
        <v>Copperbelt</v>
      </c>
      <c r="F868" t="e">
        <v>#N/A</v>
      </c>
      <c r="G868" t="e">
        <v>#N/A</v>
      </c>
      <c r="H868" t="e">
        <v>#N/A</v>
      </c>
      <c r="I868" t="e">
        <v>#N/A</v>
      </c>
      <c r="J868" t="e">
        <v>#N/A</v>
      </c>
      <c r="K868" t="e">
        <v>#N/A</v>
      </c>
      <c r="L868" t="e">
        <v>#N/A</v>
      </c>
      <c r="M868" t="e">
        <v>#N/A</v>
      </c>
      <c r="N868" t="e">
        <v>#N/A</v>
      </c>
      <c r="O868" t="e">
        <v>#N/A</v>
      </c>
      <c r="P868" s="5">
        <f t="shared" si="145"/>
        <v>0</v>
      </c>
      <c r="Q868">
        <f t="shared" si="146"/>
        <v>0</v>
      </c>
      <c r="R868">
        <f t="shared" si="147"/>
        <v>0</v>
      </c>
      <c r="S868">
        <f t="shared" si="148"/>
        <v>0</v>
      </c>
      <c r="T868">
        <f t="shared" si="149"/>
        <v>0</v>
      </c>
      <c r="U868">
        <f t="shared" si="150"/>
        <v>0</v>
      </c>
      <c r="V868">
        <f t="shared" si="151"/>
        <v>0</v>
      </c>
      <c r="W868">
        <f t="shared" si="152"/>
        <v>0</v>
      </c>
      <c r="X868">
        <f t="shared" si="153"/>
        <v>0</v>
      </c>
      <c r="Y868">
        <f t="shared" si="154"/>
        <v>0</v>
      </c>
      <c r="Z868">
        <f t="shared" si="155"/>
        <v>0</v>
      </c>
      <c r="AA868" t="str">
        <f>INDEX('Priority activities'!$D$5:$D$86,MATCH('Database for analysis'!C868,'Priority activities'!$C$5:$C$86,0))</f>
        <v>n/a</v>
      </c>
    </row>
    <row r="869" spans="2:27" ht="16.5" thickTop="1" thickBot="1" x14ac:dyDescent="0.3">
      <c r="B869" t="s">
        <v>264</v>
      </c>
      <c r="C869" s="22" t="str">
        <f>'Costing inputs'!$C$399</f>
        <v>Extra financing 3</v>
      </c>
      <c r="D869" s="22">
        <f>'Costing inputs'!$U$399</f>
        <v>0</v>
      </c>
      <c r="E869" s="22" t="str">
        <f>'Regional splits'!$E$14</f>
        <v>Eastern</v>
      </c>
      <c r="F869" t="e">
        <v>#N/A</v>
      </c>
      <c r="G869" t="e">
        <v>#N/A</v>
      </c>
      <c r="H869" t="e">
        <v>#N/A</v>
      </c>
      <c r="I869" t="e">
        <v>#N/A</v>
      </c>
      <c r="J869" t="e">
        <v>#N/A</v>
      </c>
      <c r="K869" t="e">
        <v>#N/A</v>
      </c>
      <c r="L869" t="e">
        <v>#N/A</v>
      </c>
      <c r="M869" t="e">
        <v>#N/A</v>
      </c>
      <c r="N869" t="e">
        <v>#N/A</v>
      </c>
      <c r="O869" t="e">
        <v>#N/A</v>
      </c>
      <c r="P869" s="5">
        <f t="shared" si="145"/>
        <v>0</v>
      </c>
      <c r="Q869">
        <f t="shared" si="146"/>
        <v>0</v>
      </c>
      <c r="R869">
        <f t="shared" si="147"/>
        <v>0</v>
      </c>
      <c r="S869">
        <f t="shared" si="148"/>
        <v>0</v>
      </c>
      <c r="T869">
        <f t="shared" si="149"/>
        <v>0</v>
      </c>
      <c r="U869">
        <f t="shared" si="150"/>
        <v>0</v>
      </c>
      <c r="V869">
        <f t="shared" si="151"/>
        <v>0</v>
      </c>
      <c r="W869">
        <f t="shared" si="152"/>
        <v>0</v>
      </c>
      <c r="X869">
        <f t="shared" si="153"/>
        <v>0</v>
      </c>
      <c r="Y869">
        <f t="shared" si="154"/>
        <v>0</v>
      </c>
      <c r="Z869">
        <f t="shared" si="155"/>
        <v>0</v>
      </c>
      <c r="AA869" t="str">
        <f>INDEX('Priority activities'!$D$5:$D$86,MATCH('Database for analysis'!C869,'Priority activities'!$C$5:$C$86,0))</f>
        <v>n/a</v>
      </c>
    </row>
    <row r="870" spans="2:27" ht="16.5" thickTop="1" thickBot="1" x14ac:dyDescent="0.3">
      <c r="B870" t="s">
        <v>264</v>
      </c>
      <c r="C870" s="22" t="str">
        <f>'Costing inputs'!$C$399</f>
        <v>Extra financing 3</v>
      </c>
      <c r="D870" s="22">
        <f>'Costing inputs'!$U$399</f>
        <v>0</v>
      </c>
      <c r="E870" s="22" t="str">
        <f>'Regional splits'!$F$14</f>
        <v>Luapula</v>
      </c>
      <c r="F870" t="e">
        <v>#N/A</v>
      </c>
      <c r="G870" t="e">
        <v>#N/A</v>
      </c>
      <c r="H870" t="e">
        <v>#N/A</v>
      </c>
      <c r="I870" t="e">
        <v>#N/A</v>
      </c>
      <c r="J870" t="e">
        <v>#N/A</v>
      </c>
      <c r="K870" t="e">
        <v>#N/A</v>
      </c>
      <c r="L870" t="e">
        <v>#N/A</v>
      </c>
      <c r="M870" t="e">
        <v>#N/A</v>
      </c>
      <c r="N870" t="e">
        <v>#N/A</v>
      </c>
      <c r="O870" t="e">
        <v>#N/A</v>
      </c>
      <c r="P870" s="5">
        <f t="shared" si="145"/>
        <v>0</v>
      </c>
      <c r="Q870">
        <f t="shared" si="146"/>
        <v>0</v>
      </c>
      <c r="R870">
        <f t="shared" si="147"/>
        <v>0</v>
      </c>
      <c r="S870">
        <f t="shared" si="148"/>
        <v>0</v>
      </c>
      <c r="T870">
        <f t="shared" si="149"/>
        <v>0</v>
      </c>
      <c r="U870">
        <f t="shared" si="150"/>
        <v>0</v>
      </c>
      <c r="V870">
        <f t="shared" si="151"/>
        <v>0</v>
      </c>
      <c r="W870">
        <f t="shared" si="152"/>
        <v>0</v>
      </c>
      <c r="X870">
        <f t="shared" si="153"/>
        <v>0</v>
      </c>
      <c r="Y870">
        <f t="shared" si="154"/>
        <v>0</v>
      </c>
      <c r="Z870">
        <f t="shared" si="155"/>
        <v>0</v>
      </c>
      <c r="AA870" t="str">
        <f>INDEX('Priority activities'!$D$5:$D$86,MATCH('Database for analysis'!C870,'Priority activities'!$C$5:$C$86,0))</f>
        <v>n/a</v>
      </c>
    </row>
    <row r="871" spans="2:27" ht="16.5" thickTop="1" thickBot="1" x14ac:dyDescent="0.3">
      <c r="B871" t="s">
        <v>264</v>
      </c>
      <c r="C871" s="22" t="str">
        <f>'Costing inputs'!$C$399</f>
        <v>Extra financing 3</v>
      </c>
      <c r="D871" s="22">
        <f>'Costing inputs'!$U$399</f>
        <v>0</v>
      </c>
      <c r="E871" s="22" t="str">
        <f>'Regional splits'!$G$14</f>
        <v>Lusaka</v>
      </c>
      <c r="F871" t="e">
        <v>#N/A</v>
      </c>
      <c r="G871" t="e">
        <v>#N/A</v>
      </c>
      <c r="H871" t="e">
        <v>#N/A</v>
      </c>
      <c r="I871" t="e">
        <v>#N/A</v>
      </c>
      <c r="J871" t="e">
        <v>#N/A</v>
      </c>
      <c r="K871" t="e">
        <v>#N/A</v>
      </c>
      <c r="L871" t="e">
        <v>#N/A</v>
      </c>
      <c r="M871" t="e">
        <v>#N/A</v>
      </c>
      <c r="N871" t="e">
        <v>#N/A</v>
      </c>
      <c r="O871" t="e">
        <v>#N/A</v>
      </c>
      <c r="P871" s="5">
        <f t="shared" si="145"/>
        <v>0</v>
      </c>
      <c r="Q871">
        <f t="shared" si="146"/>
        <v>0</v>
      </c>
      <c r="R871">
        <f t="shared" si="147"/>
        <v>0</v>
      </c>
      <c r="S871">
        <f t="shared" si="148"/>
        <v>0</v>
      </c>
      <c r="T871">
        <f t="shared" si="149"/>
        <v>0</v>
      </c>
      <c r="U871">
        <f t="shared" si="150"/>
        <v>0</v>
      </c>
      <c r="V871">
        <f t="shared" si="151"/>
        <v>0</v>
      </c>
      <c r="W871">
        <f t="shared" si="152"/>
        <v>0</v>
      </c>
      <c r="X871">
        <f t="shared" si="153"/>
        <v>0</v>
      </c>
      <c r="Y871">
        <f t="shared" si="154"/>
        <v>0</v>
      </c>
      <c r="Z871">
        <f t="shared" si="155"/>
        <v>0</v>
      </c>
      <c r="AA871" t="str">
        <f>INDEX('Priority activities'!$D$5:$D$86,MATCH('Database for analysis'!C871,'Priority activities'!$C$5:$C$86,0))</f>
        <v>n/a</v>
      </c>
    </row>
    <row r="872" spans="2:27" ht="16.5" thickTop="1" thickBot="1" x14ac:dyDescent="0.3">
      <c r="B872" t="s">
        <v>264</v>
      </c>
      <c r="C872" s="22" t="str">
        <f>'Costing inputs'!$C$399</f>
        <v>Extra financing 3</v>
      </c>
      <c r="D872" s="22">
        <f>'Costing inputs'!$U$399</f>
        <v>0</v>
      </c>
      <c r="E872" s="22" t="str">
        <f>'Regional splits'!$H$14</f>
        <v>Muchinga</v>
      </c>
      <c r="F872" t="e">
        <v>#N/A</v>
      </c>
      <c r="G872" t="e">
        <v>#N/A</v>
      </c>
      <c r="H872" t="e">
        <v>#N/A</v>
      </c>
      <c r="I872" t="e">
        <v>#N/A</v>
      </c>
      <c r="J872" t="e">
        <v>#N/A</v>
      </c>
      <c r="K872" t="e">
        <v>#N/A</v>
      </c>
      <c r="L872" t="e">
        <v>#N/A</v>
      </c>
      <c r="M872" t="e">
        <v>#N/A</v>
      </c>
      <c r="N872" t="e">
        <v>#N/A</v>
      </c>
      <c r="O872" t="e">
        <v>#N/A</v>
      </c>
      <c r="P872" s="5">
        <f t="shared" si="145"/>
        <v>0</v>
      </c>
      <c r="Q872">
        <f t="shared" si="146"/>
        <v>0</v>
      </c>
      <c r="R872">
        <f t="shared" si="147"/>
        <v>0</v>
      </c>
      <c r="S872">
        <f t="shared" si="148"/>
        <v>0</v>
      </c>
      <c r="T872">
        <f t="shared" si="149"/>
        <v>0</v>
      </c>
      <c r="U872">
        <f t="shared" si="150"/>
        <v>0</v>
      </c>
      <c r="V872">
        <f t="shared" si="151"/>
        <v>0</v>
      </c>
      <c r="W872">
        <f t="shared" si="152"/>
        <v>0</v>
      </c>
      <c r="X872">
        <f t="shared" si="153"/>
        <v>0</v>
      </c>
      <c r="Y872">
        <f t="shared" si="154"/>
        <v>0</v>
      </c>
      <c r="Z872">
        <f t="shared" si="155"/>
        <v>0</v>
      </c>
      <c r="AA872" t="str">
        <f>INDEX('Priority activities'!$D$5:$D$86,MATCH('Database for analysis'!C872,'Priority activities'!$C$5:$C$86,0))</f>
        <v>n/a</v>
      </c>
    </row>
    <row r="873" spans="2:27" ht="16.5" thickTop="1" thickBot="1" x14ac:dyDescent="0.3">
      <c r="B873" t="s">
        <v>264</v>
      </c>
      <c r="C873" s="22" t="str">
        <f>'Costing inputs'!$C$399</f>
        <v>Extra financing 3</v>
      </c>
      <c r="D873" s="22">
        <f>'Costing inputs'!$U$399</f>
        <v>0</v>
      </c>
      <c r="E873" s="22" t="str">
        <f>'Regional splits'!$I$14</f>
        <v>Northern</v>
      </c>
      <c r="F873" t="e">
        <v>#N/A</v>
      </c>
      <c r="G873" t="e">
        <v>#N/A</v>
      </c>
      <c r="H873" t="e">
        <v>#N/A</v>
      </c>
      <c r="I873" t="e">
        <v>#N/A</v>
      </c>
      <c r="J873" t="e">
        <v>#N/A</v>
      </c>
      <c r="K873" t="e">
        <v>#N/A</v>
      </c>
      <c r="L873" t="e">
        <v>#N/A</v>
      </c>
      <c r="M873" t="e">
        <v>#N/A</v>
      </c>
      <c r="N873" t="e">
        <v>#N/A</v>
      </c>
      <c r="O873" t="e">
        <v>#N/A</v>
      </c>
      <c r="P873" s="5">
        <f t="shared" si="145"/>
        <v>0</v>
      </c>
      <c r="Q873">
        <f t="shared" si="146"/>
        <v>0</v>
      </c>
      <c r="R873">
        <f t="shared" si="147"/>
        <v>0</v>
      </c>
      <c r="S873">
        <f t="shared" si="148"/>
        <v>0</v>
      </c>
      <c r="T873">
        <f t="shared" si="149"/>
        <v>0</v>
      </c>
      <c r="U873">
        <f t="shared" si="150"/>
        <v>0</v>
      </c>
      <c r="V873">
        <f t="shared" si="151"/>
        <v>0</v>
      </c>
      <c r="W873">
        <f t="shared" si="152"/>
        <v>0</v>
      </c>
      <c r="X873">
        <f t="shared" si="153"/>
        <v>0</v>
      </c>
      <c r="Y873">
        <f t="shared" si="154"/>
        <v>0</v>
      </c>
      <c r="Z873">
        <f t="shared" si="155"/>
        <v>0</v>
      </c>
      <c r="AA873" t="str">
        <f>INDEX('Priority activities'!$D$5:$D$86,MATCH('Database for analysis'!C873,'Priority activities'!$C$5:$C$86,0))</f>
        <v>n/a</v>
      </c>
    </row>
    <row r="874" spans="2:27" ht="16.5" thickTop="1" thickBot="1" x14ac:dyDescent="0.3">
      <c r="B874" t="s">
        <v>264</v>
      </c>
      <c r="C874" s="22" t="str">
        <f>'Costing inputs'!$C$399</f>
        <v>Extra financing 3</v>
      </c>
      <c r="D874" s="22">
        <f>'Costing inputs'!$U$399</f>
        <v>0</v>
      </c>
      <c r="E874" s="22" t="str">
        <f>'Regional splits'!$J$14</f>
        <v>North Western</v>
      </c>
      <c r="F874" t="e">
        <v>#N/A</v>
      </c>
      <c r="G874" t="e">
        <v>#N/A</v>
      </c>
      <c r="H874" t="e">
        <v>#N/A</v>
      </c>
      <c r="I874" t="e">
        <v>#N/A</v>
      </c>
      <c r="J874" t="e">
        <v>#N/A</v>
      </c>
      <c r="K874" t="e">
        <v>#N/A</v>
      </c>
      <c r="L874" t="e">
        <v>#N/A</v>
      </c>
      <c r="M874" t="e">
        <v>#N/A</v>
      </c>
      <c r="N874" t="e">
        <v>#N/A</v>
      </c>
      <c r="O874" t="e">
        <v>#N/A</v>
      </c>
      <c r="P874" s="5">
        <f t="shared" si="145"/>
        <v>0</v>
      </c>
      <c r="Q874">
        <f t="shared" si="146"/>
        <v>0</v>
      </c>
      <c r="R874">
        <f t="shared" si="147"/>
        <v>0</v>
      </c>
      <c r="S874">
        <f t="shared" si="148"/>
        <v>0</v>
      </c>
      <c r="T874">
        <f t="shared" si="149"/>
        <v>0</v>
      </c>
      <c r="U874">
        <f t="shared" si="150"/>
        <v>0</v>
      </c>
      <c r="V874">
        <f t="shared" si="151"/>
        <v>0</v>
      </c>
      <c r="W874">
        <f t="shared" si="152"/>
        <v>0</v>
      </c>
      <c r="X874">
        <f t="shared" si="153"/>
        <v>0</v>
      </c>
      <c r="Y874">
        <f t="shared" si="154"/>
        <v>0</v>
      </c>
      <c r="Z874">
        <f t="shared" si="155"/>
        <v>0</v>
      </c>
      <c r="AA874" t="str">
        <f>INDEX('Priority activities'!$D$5:$D$86,MATCH('Database for analysis'!C874,'Priority activities'!$C$5:$C$86,0))</f>
        <v>n/a</v>
      </c>
    </row>
    <row r="875" spans="2:27" ht="16.5" thickTop="1" thickBot="1" x14ac:dyDescent="0.3">
      <c r="B875" t="s">
        <v>264</v>
      </c>
      <c r="C875" s="22" t="str">
        <f>'Costing inputs'!$C$399</f>
        <v>Extra financing 3</v>
      </c>
      <c r="D875" s="22">
        <f>'Costing inputs'!$U$399</f>
        <v>0</v>
      </c>
      <c r="E875" s="22" t="str">
        <f>'Regional splits'!$K$14</f>
        <v>Southern</v>
      </c>
      <c r="F875" t="e">
        <v>#N/A</v>
      </c>
      <c r="G875" t="e">
        <v>#N/A</v>
      </c>
      <c r="H875" t="e">
        <v>#N/A</v>
      </c>
      <c r="I875" t="e">
        <v>#N/A</v>
      </c>
      <c r="J875" t="e">
        <v>#N/A</v>
      </c>
      <c r="K875" t="e">
        <v>#N/A</v>
      </c>
      <c r="L875" t="e">
        <v>#N/A</v>
      </c>
      <c r="M875" t="e">
        <v>#N/A</v>
      </c>
      <c r="N875" t="e">
        <v>#N/A</v>
      </c>
      <c r="O875" t="e">
        <v>#N/A</v>
      </c>
      <c r="P875" s="5">
        <f t="shared" si="145"/>
        <v>0</v>
      </c>
      <c r="Q875">
        <f t="shared" si="146"/>
        <v>0</v>
      </c>
      <c r="R875">
        <f t="shared" si="147"/>
        <v>0</v>
      </c>
      <c r="S875">
        <f t="shared" si="148"/>
        <v>0</v>
      </c>
      <c r="T875">
        <f t="shared" si="149"/>
        <v>0</v>
      </c>
      <c r="U875">
        <f t="shared" si="150"/>
        <v>0</v>
      </c>
      <c r="V875">
        <f t="shared" si="151"/>
        <v>0</v>
      </c>
      <c r="W875">
        <f t="shared" si="152"/>
        <v>0</v>
      </c>
      <c r="X875">
        <f t="shared" si="153"/>
        <v>0</v>
      </c>
      <c r="Y875">
        <f t="shared" si="154"/>
        <v>0</v>
      </c>
      <c r="Z875">
        <f t="shared" si="155"/>
        <v>0</v>
      </c>
      <c r="AA875" t="str">
        <f>INDEX('Priority activities'!$D$5:$D$86,MATCH('Database for analysis'!C875,'Priority activities'!$C$5:$C$86,0))</f>
        <v>n/a</v>
      </c>
    </row>
    <row r="876" spans="2:27" ht="16.5" thickTop="1" thickBot="1" x14ac:dyDescent="0.3">
      <c r="B876" t="s">
        <v>264</v>
      </c>
      <c r="C876" s="22" t="str">
        <f>'Costing inputs'!$C$399</f>
        <v>Extra financing 3</v>
      </c>
      <c r="D876" s="22">
        <f>'Costing inputs'!$U$399</f>
        <v>0</v>
      </c>
      <c r="E876" s="22" t="str">
        <f>'Regional splits'!$L$14</f>
        <v>Western</v>
      </c>
      <c r="F876" t="e">
        <v>#N/A</v>
      </c>
      <c r="G876" t="e">
        <v>#N/A</v>
      </c>
      <c r="H876" t="e">
        <v>#N/A</v>
      </c>
      <c r="I876" t="e">
        <v>#N/A</v>
      </c>
      <c r="J876" t="e">
        <v>#N/A</v>
      </c>
      <c r="K876" t="e">
        <v>#N/A</v>
      </c>
      <c r="L876" t="e">
        <v>#N/A</v>
      </c>
      <c r="M876" t="e">
        <v>#N/A</v>
      </c>
      <c r="N876" t="e">
        <v>#N/A</v>
      </c>
      <c r="O876" t="e">
        <v>#N/A</v>
      </c>
      <c r="P876" s="5">
        <f t="shared" si="145"/>
        <v>0</v>
      </c>
      <c r="Q876">
        <f t="shared" si="146"/>
        <v>0</v>
      </c>
      <c r="R876">
        <f t="shared" si="147"/>
        <v>0</v>
      </c>
      <c r="S876">
        <f t="shared" si="148"/>
        <v>0</v>
      </c>
      <c r="T876">
        <f t="shared" si="149"/>
        <v>0</v>
      </c>
      <c r="U876">
        <f t="shared" si="150"/>
        <v>0</v>
      </c>
      <c r="V876">
        <f t="shared" si="151"/>
        <v>0</v>
      </c>
      <c r="W876">
        <f t="shared" si="152"/>
        <v>0</v>
      </c>
      <c r="X876">
        <f t="shared" si="153"/>
        <v>0</v>
      </c>
      <c r="Y876">
        <f t="shared" si="154"/>
        <v>0</v>
      </c>
      <c r="Z876">
        <f t="shared" si="155"/>
        <v>0</v>
      </c>
      <c r="AA876" t="str">
        <f>INDEX('Priority activities'!$D$5:$D$86,MATCH('Database for analysis'!C876,'Priority activities'!$C$5:$C$86,0))</f>
        <v>n/a</v>
      </c>
    </row>
    <row r="877" spans="2:27" ht="16.5" thickTop="1" thickBot="1" x14ac:dyDescent="0.3">
      <c r="B877" t="s">
        <v>264</v>
      </c>
      <c r="C877" s="22" t="str">
        <f>'Costing inputs'!$C$399</f>
        <v>Extra financing 3</v>
      </c>
      <c r="D877" s="22">
        <f>'Costing inputs'!$U$399</f>
        <v>0</v>
      </c>
      <c r="E877" s="22">
        <f>'Regional splits'!$M$14</f>
        <v>0</v>
      </c>
      <c r="F877" t="e">
        <v>#N/A</v>
      </c>
      <c r="G877" t="e">
        <v>#N/A</v>
      </c>
      <c r="H877" t="e">
        <v>#N/A</v>
      </c>
      <c r="I877" t="e">
        <v>#N/A</v>
      </c>
      <c r="J877" t="e">
        <v>#N/A</v>
      </c>
      <c r="K877" t="e">
        <v>#N/A</v>
      </c>
      <c r="L877" t="e">
        <v>#N/A</v>
      </c>
      <c r="M877" t="e">
        <v>#N/A</v>
      </c>
      <c r="N877" t="e">
        <v>#N/A</v>
      </c>
      <c r="O877" t="e">
        <v>#N/A</v>
      </c>
      <c r="P877" s="5">
        <f t="shared" si="145"/>
        <v>0</v>
      </c>
      <c r="Q877">
        <f t="shared" si="146"/>
        <v>0</v>
      </c>
      <c r="R877">
        <f t="shared" si="147"/>
        <v>0</v>
      </c>
      <c r="S877">
        <f t="shared" si="148"/>
        <v>0</v>
      </c>
      <c r="T877">
        <f t="shared" si="149"/>
        <v>0</v>
      </c>
      <c r="U877">
        <f t="shared" si="150"/>
        <v>0</v>
      </c>
      <c r="V877">
        <f t="shared" si="151"/>
        <v>0</v>
      </c>
      <c r="W877">
        <f t="shared" si="152"/>
        <v>0</v>
      </c>
      <c r="X877">
        <f t="shared" si="153"/>
        <v>0</v>
      </c>
      <c r="Y877">
        <f t="shared" si="154"/>
        <v>0</v>
      </c>
      <c r="Z877">
        <f t="shared" si="155"/>
        <v>0</v>
      </c>
      <c r="AA877" t="str">
        <f>INDEX('Priority activities'!$D$5:$D$86,MATCH('Database for analysis'!C877,'Priority activities'!$C$5:$C$86,0))</f>
        <v>n/a</v>
      </c>
    </row>
    <row r="878" spans="2:27" ht="16.5" thickTop="1" thickBot="1" x14ac:dyDescent="0.3">
      <c r="B878" t="s">
        <v>264</v>
      </c>
      <c r="C878" s="22" t="str">
        <f>'Costing inputs'!$C$399</f>
        <v>Extra financing 3</v>
      </c>
      <c r="D878" s="22">
        <f>'Costing inputs'!$U$399</f>
        <v>0</v>
      </c>
      <c r="E878" s="22">
        <f>'Regional splits'!$N$14</f>
        <v>0</v>
      </c>
      <c r="F878" t="e">
        <v>#N/A</v>
      </c>
      <c r="G878" t="e">
        <v>#N/A</v>
      </c>
      <c r="H878" t="e">
        <v>#N/A</v>
      </c>
      <c r="I878" t="e">
        <v>#N/A</v>
      </c>
      <c r="J878" t="e">
        <v>#N/A</v>
      </c>
      <c r="K878" t="e">
        <v>#N/A</v>
      </c>
      <c r="L878" t="e">
        <v>#N/A</v>
      </c>
      <c r="M878" t="e">
        <v>#N/A</v>
      </c>
      <c r="N878" t="e">
        <v>#N/A</v>
      </c>
      <c r="O878" t="e">
        <v>#N/A</v>
      </c>
      <c r="P878" s="5">
        <f t="shared" si="145"/>
        <v>0</v>
      </c>
      <c r="Q878">
        <f t="shared" si="146"/>
        <v>0</v>
      </c>
      <c r="R878">
        <f t="shared" si="147"/>
        <v>0</v>
      </c>
      <c r="S878">
        <f t="shared" si="148"/>
        <v>0</v>
      </c>
      <c r="T878">
        <f t="shared" si="149"/>
        <v>0</v>
      </c>
      <c r="U878">
        <f t="shared" si="150"/>
        <v>0</v>
      </c>
      <c r="V878">
        <f t="shared" si="151"/>
        <v>0</v>
      </c>
      <c r="W878">
        <f t="shared" si="152"/>
        <v>0</v>
      </c>
      <c r="X878">
        <f t="shared" si="153"/>
        <v>0</v>
      </c>
      <c r="Y878">
        <f t="shared" si="154"/>
        <v>0</v>
      </c>
      <c r="Z878">
        <f t="shared" si="155"/>
        <v>0</v>
      </c>
      <c r="AA878" t="str">
        <f>INDEX('Priority activities'!$D$5:$D$86,MATCH('Database for analysis'!C878,'Priority activities'!$C$5:$C$86,0))</f>
        <v>n/a</v>
      </c>
    </row>
    <row r="879" spans="2:27" ht="16.5" thickTop="1" thickBot="1" x14ac:dyDescent="0.3">
      <c r="B879" t="s">
        <v>264</v>
      </c>
      <c r="C879" s="22" t="str">
        <f>'Costing inputs'!$C$399</f>
        <v>Extra financing 3</v>
      </c>
      <c r="D879" s="22">
        <f>'Costing inputs'!$U$399</f>
        <v>0</v>
      </c>
      <c r="E879" s="22">
        <f>'Regional splits'!$O$14</f>
        <v>0</v>
      </c>
      <c r="F879" t="e">
        <v>#N/A</v>
      </c>
      <c r="G879" t="e">
        <v>#N/A</v>
      </c>
      <c r="H879" t="e">
        <v>#N/A</v>
      </c>
      <c r="I879" t="e">
        <v>#N/A</v>
      </c>
      <c r="J879" t="e">
        <v>#N/A</v>
      </c>
      <c r="K879" t="e">
        <v>#N/A</v>
      </c>
      <c r="L879" t="e">
        <v>#N/A</v>
      </c>
      <c r="M879" t="e">
        <v>#N/A</v>
      </c>
      <c r="N879" t="e">
        <v>#N/A</v>
      </c>
      <c r="O879" t="e">
        <v>#N/A</v>
      </c>
      <c r="P879" s="5">
        <f t="shared" si="145"/>
        <v>0</v>
      </c>
      <c r="Q879">
        <f t="shared" si="146"/>
        <v>0</v>
      </c>
      <c r="R879">
        <f t="shared" si="147"/>
        <v>0</v>
      </c>
      <c r="S879">
        <f t="shared" si="148"/>
        <v>0</v>
      </c>
      <c r="T879">
        <f t="shared" si="149"/>
        <v>0</v>
      </c>
      <c r="U879">
        <f t="shared" si="150"/>
        <v>0</v>
      </c>
      <c r="V879">
        <f t="shared" si="151"/>
        <v>0</v>
      </c>
      <c r="W879">
        <f t="shared" si="152"/>
        <v>0</v>
      </c>
      <c r="X879">
        <f t="shared" si="153"/>
        <v>0</v>
      </c>
      <c r="Y879">
        <f t="shared" si="154"/>
        <v>0</v>
      </c>
      <c r="Z879">
        <f t="shared" si="155"/>
        <v>0</v>
      </c>
      <c r="AA879" t="str">
        <f>INDEX('Priority activities'!$D$5:$D$86,MATCH('Database for analysis'!C879,'Priority activities'!$C$5:$C$86,0))</f>
        <v>n/a</v>
      </c>
    </row>
    <row r="880" spans="2:27" ht="16.5" thickTop="1" thickBot="1" x14ac:dyDescent="0.3">
      <c r="B880" t="s">
        <v>264</v>
      </c>
      <c r="C880" s="22" t="str">
        <f>'Costing inputs'!$C$399</f>
        <v>Extra financing 3</v>
      </c>
      <c r="D880" s="22">
        <f>'Costing inputs'!$U$399</f>
        <v>0</v>
      </c>
      <c r="E880" s="22">
        <f>'Regional splits'!$P$14</f>
        <v>0</v>
      </c>
      <c r="F880" t="e">
        <v>#N/A</v>
      </c>
      <c r="G880" t="e">
        <v>#N/A</v>
      </c>
      <c r="H880" t="e">
        <v>#N/A</v>
      </c>
      <c r="I880" t="e">
        <v>#N/A</v>
      </c>
      <c r="J880" t="e">
        <v>#N/A</v>
      </c>
      <c r="K880" t="e">
        <v>#N/A</v>
      </c>
      <c r="L880" t="e">
        <v>#N/A</v>
      </c>
      <c r="M880" t="e">
        <v>#N/A</v>
      </c>
      <c r="N880" t="e">
        <v>#N/A</v>
      </c>
      <c r="O880" t="e">
        <v>#N/A</v>
      </c>
      <c r="P880" s="5">
        <f t="shared" si="145"/>
        <v>0</v>
      </c>
      <c r="Q880">
        <f t="shared" si="146"/>
        <v>0</v>
      </c>
      <c r="R880">
        <f t="shared" si="147"/>
        <v>0</v>
      </c>
      <c r="S880">
        <f t="shared" si="148"/>
        <v>0</v>
      </c>
      <c r="T880">
        <f t="shared" si="149"/>
        <v>0</v>
      </c>
      <c r="U880">
        <f t="shared" si="150"/>
        <v>0</v>
      </c>
      <c r="V880">
        <f t="shared" si="151"/>
        <v>0</v>
      </c>
      <c r="W880">
        <f t="shared" si="152"/>
        <v>0</v>
      </c>
      <c r="X880">
        <f t="shared" si="153"/>
        <v>0</v>
      </c>
      <c r="Y880">
        <f t="shared" si="154"/>
        <v>0</v>
      </c>
      <c r="Z880">
        <f t="shared" si="155"/>
        <v>0</v>
      </c>
      <c r="AA880" t="str">
        <f>INDEX('Priority activities'!$D$5:$D$86,MATCH('Database for analysis'!C880,'Priority activities'!$C$5:$C$86,0))</f>
        <v>n/a</v>
      </c>
    </row>
    <row r="881" spans="2:27" ht="16.5" thickTop="1" thickBot="1" x14ac:dyDescent="0.3">
      <c r="B881" t="s">
        <v>264</v>
      </c>
      <c r="C881" s="22" t="str">
        <f>'Costing inputs'!$C$399</f>
        <v>Extra financing 3</v>
      </c>
      <c r="D881" s="22">
        <f>'Costing inputs'!$U$399</f>
        <v>0</v>
      </c>
      <c r="E881" s="22">
        <f>'Regional splits'!$Q$14</f>
        <v>0</v>
      </c>
      <c r="F881" t="e">
        <v>#N/A</v>
      </c>
      <c r="G881" t="e">
        <v>#N/A</v>
      </c>
      <c r="H881" t="e">
        <v>#N/A</v>
      </c>
      <c r="I881" t="e">
        <v>#N/A</v>
      </c>
      <c r="J881" t="e">
        <v>#N/A</v>
      </c>
      <c r="K881" t="e">
        <v>#N/A</v>
      </c>
      <c r="L881" t="e">
        <v>#N/A</v>
      </c>
      <c r="M881" t="e">
        <v>#N/A</v>
      </c>
      <c r="N881" t="e">
        <v>#N/A</v>
      </c>
      <c r="O881" t="e">
        <v>#N/A</v>
      </c>
      <c r="P881" s="5">
        <f t="shared" si="145"/>
        <v>0</v>
      </c>
      <c r="Q881">
        <f t="shared" si="146"/>
        <v>0</v>
      </c>
      <c r="R881">
        <f t="shared" si="147"/>
        <v>0</v>
      </c>
      <c r="S881">
        <f t="shared" si="148"/>
        <v>0</v>
      </c>
      <c r="T881">
        <f t="shared" si="149"/>
        <v>0</v>
      </c>
      <c r="U881">
        <f t="shared" si="150"/>
        <v>0</v>
      </c>
      <c r="V881">
        <f t="shared" si="151"/>
        <v>0</v>
      </c>
      <c r="W881">
        <f t="shared" si="152"/>
        <v>0</v>
      </c>
      <c r="X881">
        <f t="shared" si="153"/>
        <v>0</v>
      </c>
      <c r="Y881">
        <f t="shared" si="154"/>
        <v>0</v>
      </c>
      <c r="Z881">
        <f t="shared" si="155"/>
        <v>0</v>
      </c>
      <c r="AA881" t="str">
        <f>INDEX('Priority activities'!$D$5:$D$86,MATCH('Database for analysis'!C881,'Priority activities'!$C$5:$C$86,0))</f>
        <v>n/a</v>
      </c>
    </row>
    <row r="882" spans="2:27" ht="16.5" thickTop="1" thickBot="1" x14ac:dyDescent="0.3">
      <c r="B882" t="s">
        <v>264</v>
      </c>
      <c r="C882" s="22" t="str">
        <f>'Costing inputs'!$C$399</f>
        <v>Extra financing 3</v>
      </c>
      <c r="D882" s="22">
        <f>'Costing inputs'!$U$399</f>
        <v>0</v>
      </c>
      <c r="E882" s="22" t="str">
        <f>'Regional splits'!$R$14</f>
        <v>National-level</v>
      </c>
      <c r="F882" t="e">
        <v>#N/A</v>
      </c>
      <c r="G882" t="e">
        <v>#N/A</v>
      </c>
      <c r="H882" t="e">
        <v>#N/A</v>
      </c>
      <c r="I882" t="e">
        <v>#N/A</v>
      </c>
      <c r="J882" t="e">
        <v>#N/A</v>
      </c>
      <c r="K882" t="e">
        <v>#N/A</v>
      </c>
      <c r="L882" t="e">
        <v>#N/A</v>
      </c>
      <c r="M882" t="e">
        <v>#N/A</v>
      </c>
      <c r="N882" t="e">
        <v>#N/A</v>
      </c>
      <c r="O882" t="e">
        <v>#N/A</v>
      </c>
      <c r="P882" s="5">
        <f t="shared" si="145"/>
        <v>0</v>
      </c>
      <c r="Q882">
        <f t="shared" si="146"/>
        <v>0</v>
      </c>
      <c r="R882">
        <f t="shared" si="147"/>
        <v>0</v>
      </c>
      <c r="S882">
        <f t="shared" si="148"/>
        <v>0</v>
      </c>
      <c r="T882">
        <f t="shared" si="149"/>
        <v>0</v>
      </c>
      <c r="U882">
        <f t="shared" si="150"/>
        <v>0</v>
      </c>
      <c r="V882">
        <f t="shared" si="151"/>
        <v>0</v>
      </c>
      <c r="W882">
        <f t="shared" si="152"/>
        <v>0</v>
      </c>
      <c r="X882">
        <f t="shared" si="153"/>
        <v>0</v>
      </c>
      <c r="Y882">
        <f t="shared" si="154"/>
        <v>0</v>
      </c>
      <c r="Z882">
        <f t="shared" si="155"/>
        <v>0</v>
      </c>
      <c r="AA882" t="str">
        <f>INDEX('Priority activities'!$D$5:$D$86,MATCH('Database for analysis'!C882,'Priority activities'!$C$5:$C$86,0))</f>
        <v>n/a</v>
      </c>
    </row>
    <row r="883" spans="2:27" ht="16.5" thickTop="1" thickBot="1" x14ac:dyDescent="0.3">
      <c r="B883" t="s">
        <v>727</v>
      </c>
      <c r="C883" s="22" t="str">
        <f>'Costing inputs'!$C$403</f>
        <v>Data collection books (n/a)</v>
      </c>
      <c r="D883" s="22" t="str">
        <f>'Costing inputs'!$U$403</f>
        <v>Health facilities (service delivery points)</v>
      </c>
      <c r="E883" s="22" t="str">
        <f>'Regional splits'!$C$14</f>
        <v>Central</v>
      </c>
      <c r="F883">
        <f t="array" ref="F883:O898">'Costing inputs'!S403*'Costing inputs'!AP403:AY403*TRANSPOSE('Costing inputs'!W403:AL403)</f>
        <v>0</v>
      </c>
      <c r="G883">
        <v>0</v>
      </c>
      <c r="H883">
        <v>0</v>
      </c>
      <c r="I883">
        <v>0</v>
      </c>
      <c r="J883">
        <v>0</v>
      </c>
      <c r="K883">
        <v>0</v>
      </c>
      <c r="L883">
        <v>0</v>
      </c>
      <c r="M883">
        <v>0</v>
      </c>
      <c r="N883">
        <v>0</v>
      </c>
      <c r="O883">
        <v>0</v>
      </c>
      <c r="P883" s="5">
        <f t="shared" si="145"/>
        <v>0</v>
      </c>
      <c r="Q883">
        <f t="shared" si="146"/>
        <v>0</v>
      </c>
      <c r="R883">
        <f t="shared" si="147"/>
        <v>0</v>
      </c>
      <c r="S883">
        <f t="shared" si="148"/>
        <v>0</v>
      </c>
      <c r="T883">
        <f t="shared" si="149"/>
        <v>0</v>
      </c>
      <c r="U883">
        <f t="shared" si="150"/>
        <v>0</v>
      </c>
      <c r="V883">
        <f t="shared" si="151"/>
        <v>0</v>
      </c>
      <c r="W883">
        <f t="shared" si="152"/>
        <v>0</v>
      </c>
      <c r="X883">
        <f t="shared" si="153"/>
        <v>0</v>
      </c>
      <c r="Y883">
        <f t="shared" si="154"/>
        <v>0</v>
      </c>
      <c r="Z883">
        <f t="shared" si="155"/>
        <v>0</v>
      </c>
      <c r="AA883" t="str">
        <f>INDEX('Priority activities'!$D$5:$D$86,MATCH('Database for analysis'!C883,'Priority activities'!$C$5:$C$86,0))</f>
        <v>n/a</v>
      </c>
    </row>
    <row r="884" spans="2:27" ht="16.5" thickTop="1" thickBot="1" x14ac:dyDescent="0.3">
      <c r="B884" t="s">
        <v>727</v>
      </c>
      <c r="C884" s="22" t="str">
        <f>'Costing inputs'!$C$403</f>
        <v>Data collection books (n/a)</v>
      </c>
      <c r="D884" s="22" t="str">
        <f>'Costing inputs'!$U$403</f>
        <v>Health facilities (service delivery points)</v>
      </c>
      <c r="E884" s="22" t="str">
        <f>'Regional splits'!$D$14</f>
        <v>Copperbelt</v>
      </c>
      <c r="F884">
        <v>0</v>
      </c>
      <c r="G884">
        <v>0</v>
      </c>
      <c r="H884">
        <v>0</v>
      </c>
      <c r="I884">
        <v>0</v>
      </c>
      <c r="J884">
        <v>0</v>
      </c>
      <c r="K884">
        <v>0</v>
      </c>
      <c r="L884">
        <v>0</v>
      </c>
      <c r="M884">
        <v>0</v>
      </c>
      <c r="N884">
        <v>0</v>
      </c>
      <c r="O884">
        <v>0</v>
      </c>
      <c r="P884" s="5">
        <f t="shared" si="145"/>
        <v>0</v>
      </c>
      <c r="Q884">
        <f t="shared" si="146"/>
        <v>0</v>
      </c>
      <c r="R884">
        <f t="shared" si="147"/>
        <v>0</v>
      </c>
      <c r="S884">
        <f t="shared" si="148"/>
        <v>0</v>
      </c>
      <c r="T884">
        <f t="shared" si="149"/>
        <v>0</v>
      </c>
      <c r="U884">
        <f t="shared" si="150"/>
        <v>0</v>
      </c>
      <c r="V884">
        <f t="shared" si="151"/>
        <v>0</v>
      </c>
      <c r="W884">
        <f t="shared" si="152"/>
        <v>0</v>
      </c>
      <c r="X884">
        <f t="shared" si="153"/>
        <v>0</v>
      </c>
      <c r="Y884">
        <f t="shared" si="154"/>
        <v>0</v>
      </c>
      <c r="Z884">
        <f t="shared" si="155"/>
        <v>0</v>
      </c>
      <c r="AA884" t="str">
        <f>INDEX('Priority activities'!$D$5:$D$86,MATCH('Database for analysis'!C884,'Priority activities'!$C$5:$C$86,0))</f>
        <v>n/a</v>
      </c>
    </row>
    <row r="885" spans="2:27" ht="16.5" thickTop="1" thickBot="1" x14ac:dyDescent="0.3">
      <c r="B885" t="s">
        <v>727</v>
      </c>
      <c r="C885" s="22" t="str">
        <f>'Costing inputs'!$C$403</f>
        <v>Data collection books (n/a)</v>
      </c>
      <c r="D885" s="22" t="str">
        <f>'Costing inputs'!$U$403</f>
        <v>Health facilities (service delivery points)</v>
      </c>
      <c r="E885" s="22" t="str">
        <f>'Regional splits'!$E$14</f>
        <v>Eastern</v>
      </c>
      <c r="F885">
        <v>0</v>
      </c>
      <c r="G885">
        <v>0</v>
      </c>
      <c r="H885">
        <v>0</v>
      </c>
      <c r="I885">
        <v>0</v>
      </c>
      <c r="J885">
        <v>0</v>
      </c>
      <c r="K885">
        <v>0</v>
      </c>
      <c r="L885">
        <v>0</v>
      </c>
      <c r="M885">
        <v>0</v>
      </c>
      <c r="N885">
        <v>0</v>
      </c>
      <c r="O885">
        <v>0</v>
      </c>
      <c r="P885" s="5">
        <f t="shared" si="145"/>
        <v>0</v>
      </c>
      <c r="Q885">
        <f t="shared" si="146"/>
        <v>0</v>
      </c>
      <c r="R885">
        <f t="shared" si="147"/>
        <v>0</v>
      </c>
      <c r="S885">
        <f t="shared" si="148"/>
        <v>0</v>
      </c>
      <c r="T885">
        <f t="shared" si="149"/>
        <v>0</v>
      </c>
      <c r="U885">
        <f t="shared" si="150"/>
        <v>0</v>
      </c>
      <c r="V885">
        <f t="shared" si="151"/>
        <v>0</v>
      </c>
      <c r="W885">
        <f t="shared" si="152"/>
        <v>0</v>
      </c>
      <c r="X885">
        <f t="shared" si="153"/>
        <v>0</v>
      </c>
      <c r="Y885">
        <f t="shared" si="154"/>
        <v>0</v>
      </c>
      <c r="Z885">
        <f t="shared" si="155"/>
        <v>0</v>
      </c>
      <c r="AA885" t="str">
        <f>INDEX('Priority activities'!$D$5:$D$86,MATCH('Database for analysis'!C885,'Priority activities'!$C$5:$C$86,0))</f>
        <v>n/a</v>
      </c>
    </row>
    <row r="886" spans="2:27" ht="16.5" thickTop="1" thickBot="1" x14ac:dyDescent="0.3">
      <c r="B886" t="s">
        <v>727</v>
      </c>
      <c r="C886" s="22" t="str">
        <f>'Costing inputs'!$C$403</f>
        <v>Data collection books (n/a)</v>
      </c>
      <c r="D886" s="22" t="str">
        <f>'Costing inputs'!$U$403</f>
        <v>Health facilities (service delivery points)</v>
      </c>
      <c r="E886" s="22" t="str">
        <f>'Regional splits'!$F$14</f>
        <v>Luapula</v>
      </c>
      <c r="F886">
        <v>0</v>
      </c>
      <c r="G886">
        <v>0</v>
      </c>
      <c r="H886">
        <v>0</v>
      </c>
      <c r="I886">
        <v>0</v>
      </c>
      <c r="J886">
        <v>0</v>
      </c>
      <c r="K886">
        <v>0</v>
      </c>
      <c r="L886">
        <v>0</v>
      </c>
      <c r="M886">
        <v>0</v>
      </c>
      <c r="N886">
        <v>0</v>
      </c>
      <c r="O886">
        <v>0</v>
      </c>
      <c r="P886" s="5">
        <f t="shared" si="145"/>
        <v>0</v>
      </c>
      <c r="Q886">
        <f t="shared" si="146"/>
        <v>0</v>
      </c>
      <c r="R886">
        <f t="shared" si="147"/>
        <v>0</v>
      </c>
      <c r="S886">
        <f t="shared" si="148"/>
        <v>0</v>
      </c>
      <c r="T886">
        <f t="shared" si="149"/>
        <v>0</v>
      </c>
      <c r="U886">
        <f t="shared" si="150"/>
        <v>0</v>
      </c>
      <c r="V886">
        <f t="shared" si="151"/>
        <v>0</v>
      </c>
      <c r="W886">
        <f t="shared" si="152"/>
        <v>0</v>
      </c>
      <c r="X886">
        <f t="shared" si="153"/>
        <v>0</v>
      </c>
      <c r="Y886">
        <f t="shared" si="154"/>
        <v>0</v>
      </c>
      <c r="Z886">
        <f t="shared" si="155"/>
        <v>0</v>
      </c>
      <c r="AA886" t="str">
        <f>INDEX('Priority activities'!$D$5:$D$86,MATCH('Database for analysis'!C886,'Priority activities'!$C$5:$C$86,0))</f>
        <v>n/a</v>
      </c>
    </row>
    <row r="887" spans="2:27" ht="16.5" thickTop="1" thickBot="1" x14ac:dyDescent="0.3">
      <c r="B887" t="s">
        <v>727</v>
      </c>
      <c r="C887" s="22" t="str">
        <f>'Costing inputs'!$C$403</f>
        <v>Data collection books (n/a)</v>
      </c>
      <c r="D887" s="22" t="str">
        <f>'Costing inputs'!$U$403</f>
        <v>Health facilities (service delivery points)</v>
      </c>
      <c r="E887" s="22" t="str">
        <f>'Regional splits'!$G$14</f>
        <v>Lusaka</v>
      </c>
      <c r="F887">
        <v>0</v>
      </c>
      <c r="G887">
        <v>0</v>
      </c>
      <c r="H887">
        <v>0</v>
      </c>
      <c r="I887">
        <v>0</v>
      </c>
      <c r="J887">
        <v>0</v>
      </c>
      <c r="K887">
        <v>0</v>
      </c>
      <c r="L887">
        <v>0</v>
      </c>
      <c r="M887">
        <v>0</v>
      </c>
      <c r="N887">
        <v>0</v>
      </c>
      <c r="O887">
        <v>0</v>
      </c>
      <c r="P887" s="5">
        <f t="shared" si="145"/>
        <v>0</v>
      </c>
      <c r="Q887">
        <f t="shared" si="146"/>
        <v>0</v>
      </c>
      <c r="R887">
        <f t="shared" si="147"/>
        <v>0</v>
      </c>
      <c r="S887">
        <f t="shared" si="148"/>
        <v>0</v>
      </c>
      <c r="T887">
        <f t="shared" si="149"/>
        <v>0</v>
      </c>
      <c r="U887">
        <f t="shared" si="150"/>
        <v>0</v>
      </c>
      <c r="V887">
        <f t="shared" si="151"/>
        <v>0</v>
      </c>
      <c r="W887">
        <f t="shared" si="152"/>
        <v>0</v>
      </c>
      <c r="X887">
        <f t="shared" si="153"/>
        <v>0</v>
      </c>
      <c r="Y887">
        <f t="shared" si="154"/>
        <v>0</v>
      </c>
      <c r="Z887">
        <f t="shared" si="155"/>
        <v>0</v>
      </c>
      <c r="AA887" t="str">
        <f>INDEX('Priority activities'!$D$5:$D$86,MATCH('Database for analysis'!C887,'Priority activities'!$C$5:$C$86,0))</f>
        <v>n/a</v>
      </c>
    </row>
    <row r="888" spans="2:27" ht="16.5" thickTop="1" thickBot="1" x14ac:dyDescent="0.3">
      <c r="B888" t="s">
        <v>727</v>
      </c>
      <c r="C888" s="22" t="str">
        <f>'Costing inputs'!$C$403</f>
        <v>Data collection books (n/a)</v>
      </c>
      <c r="D888" s="22" t="str">
        <f>'Costing inputs'!$U$403</f>
        <v>Health facilities (service delivery points)</v>
      </c>
      <c r="E888" s="22" t="str">
        <f>'Regional splits'!$H$14</f>
        <v>Muchinga</v>
      </c>
      <c r="F888">
        <v>0</v>
      </c>
      <c r="G888">
        <v>0</v>
      </c>
      <c r="H888">
        <v>0</v>
      </c>
      <c r="I888">
        <v>0</v>
      </c>
      <c r="J888">
        <v>0</v>
      </c>
      <c r="K888">
        <v>0</v>
      </c>
      <c r="L888">
        <v>0</v>
      </c>
      <c r="M888">
        <v>0</v>
      </c>
      <c r="N888">
        <v>0</v>
      </c>
      <c r="O888">
        <v>0</v>
      </c>
      <c r="P888" s="5">
        <f t="shared" si="145"/>
        <v>0</v>
      </c>
      <c r="Q888">
        <f t="shared" si="146"/>
        <v>0</v>
      </c>
      <c r="R888">
        <f t="shared" si="147"/>
        <v>0</v>
      </c>
      <c r="S888">
        <f t="shared" si="148"/>
        <v>0</v>
      </c>
      <c r="T888">
        <f t="shared" si="149"/>
        <v>0</v>
      </c>
      <c r="U888">
        <f t="shared" si="150"/>
        <v>0</v>
      </c>
      <c r="V888">
        <f t="shared" si="151"/>
        <v>0</v>
      </c>
      <c r="W888">
        <f t="shared" si="152"/>
        <v>0</v>
      </c>
      <c r="X888">
        <f t="shared" si="153"/>
        <v>0</v>
      </c>
      <c r="Y888">
        <f t="shared" si="154"/>
        <v>0</v>
      </c>
      <c r="Z888">
        <f t="shared" si="155"/>
        <v>0</v>
      </c>
      <c r="AA888" t="str">
        <f>INDEX('Priority activities'!$D$5:$D$86,MATCH('Database for analysis'!C888,'Priority activities'!$C$5:$C$86,0))</f>
        <v>n/a</v>
      </c>
    </row>
    <row r="889" spans="2:27" ht="16.5" thickTop="1" thickBot="1" x14ac:dyDescent="0.3">
      <c r="B889" t="s">
        <v>727</v>
      </c>
      <c r="C889" s="22" t="str">
        <f>'Costing inputs'!$C$403</f>
        <v>Data collection books (n/a)</v>
      </c>
      <c r="D889" s="22" t="str">
        <f>'Costing inputs'!$U$403</f>
        <v>Health facilities (service delivery points)</v>
      </c>
      <c r="E889" s="22" t="str">
        <f>'Regional splits'!$I$14</f>
        <v>Northern</v>
      </c>
      <c r="F889">
        <v>0</v>
      </c>
      <c r="G889">
        <v>0</v>
      </c>
      <c r="H889">
        <v>0</v>
      </c>
      <c r="I889">
        <v>0</v>
      </c>
      <c r="J889">
        <v>0</v>
      </c>
      <c r="K889">
        <v>0</v>
      </c>
      <c r="L889">
        <v>0</v>
      </c>
      <c r="M889">
        <v>0</v>
      </c>
      <c r="N889">
        <v>0</v>
      </c>
      <c r="O889">
        <v>0</v>
      </c>
      <c r="P889" s="5">
        <f t="shared" si="145"/>
        <v>0</v>
      </c>
      <c r="Q889">
        <f t="shared" si="146"/>
        <v>0</v>
      </c>
      <c r="R889">
        <f t="shared" si="147"/>
        <v>0</v>
      </c>
      <c r="S889">
        <f t="shared" si="148"/>
        <v>0</v>
      </c>
      <c r="T889">
        <f t="shared" si="149"/>
        <v>0</v>
      </c>
      <c r="U889">
        <f t="shared" si="150"/>
        <v>0</v>
      </c>
      <c r="V889">
        <f t="shared" si="151"/>
        <v>0</v>
      </c>
      <c r="W889">
        <f t="shared" si="152"/>
        <v>0</v>
      </c>
      <c r="X889">
        <f t="shared" si="153"/>
        <v>0</v>
      </c>
      <c r="Y889">
        <f t="shared" si="154"/>
        <v>0</v>
      </c>
      <c r="Z889">
        <f t="shared" si="155"/>
        <v>0</v>
      </c>
      <c r="AA889" t="str">
        <f>INDEX('Priority activities'!$D$5:$D$86,MATCH('Database for analysis'!C889,'Priority activities'!$C$5:$C$86,0))</f>
        <v>n/a</v>
      </c>
    </row>
    <row r="890" spans="2:27" ht="16.5" thickTop="1" thickBot="1" x14ac:dyDescent="0.3">
      <c r="B890" t="s">
        <v>727</v>
      </c>
      <c r="C890" s="22" t="str">
        <f>'Costing inputs'!$C$403</f>
        <v>Data collection books (n/a)</v>
      </c>
      <c r="D890" s="22" t="str">
        <f>'Costing inputs'!$U$403</f>
        <v>Health facilities (service delivery points)</v>
      </c>
      <c r="E890" s="22" t="str">
        <f>'Regional splits'!$J$14</f>
        <v>North Western</v>
      </c>
      <c r="F890">
        <v>0</v>
      </c>
      <c r="G890">
        <v>0</v>
      </c>
      <c r="H890">
        <v>0</v>
      </c>
      <c r="I890">
        <v>0</v>
      </c>
      <c r="J890">
        <v>0</v>
      </c>
      <c r="K890">
        <v>0</v>
      </c>
      <c r="L890">
        <v>0</v>
      </c>
      <c r="M890">
        <v>0</v>
      </c>
      <c r="N890">
        <v>0</v>
      </c>
      <c r="O890">
        <v>0</v>
      </c>
      <c r="P890" s="5">
        <f t="shared" si="145"/>
        <v>0</v>
      </c>
      <c r="Q890">
        <f t="shared" si="146"/>
        <v>0</v>
      </c>
      <c r="R890">
        <f t="shared" si="147"/>
        <v>0</v>
      </c>
      <c r="S890">
        <f t="shared" si="148"/>
        <v>0</v>
      </c>
      <c r="T890">
        <f t="shared" si="149"/>
        <v>0</v>
      </c>
      <c r="U890">
        <f t="shared" si="150"/>
        <v>0</v>
      </c>
      <c r="V890">
        <f t="shared" si="151"/>
        <v>0</v>
      </c>
      <c r="W890">
        <f t="shared" si="152"/>
        <v>0</v>
      </c>
      <c r="X890">
        <f t="shared" si="153"/>
        <v>0</v>
      </c>
      <c r="Y890">
        <f t="shared" si="154"/>
        <v>0</v>
      </c>
      <c r="Z890">
        <f t="shared" si="155"/>
        <v>0</v>
      </c>
      <c r="AA890" t="str">
        <f>INDEX('Priority activities'!$D$5:$D$86,MATCH('Database for analysis'!C890,'Priority activities'!$C$5:$C$86,0))</f>
        <v>n/a</v>
      </c>
    </row>
    <row r="891" spans="2:27" ht="16.5" thickTop="1" thickBot="1" x14ac:dyDescent="0.3">
      <c r="B891" t="s">
        <v>727</v>
      </c>
      <c r="C891" s="22" t="str">
        <f>'Costing inputs'!$C$403</f>
        <v>Data collection books (n/a)</v>
      </c>
      <c r="D891" s="22" t="str">
        <f>'Costing inputs'!$U$403</f>
        <v>Health facilities (service delivery points)</v>
      </c>
      <c r="E891" s="22" t="str">
        <f>'Regional splits'!$K$14</f>
        <v>Southern</v>
      </c>
      <c r="F891">
        <v>0</v>
      </c>
      <c r="G891">
        <v>0</v>
      </c>
      <c r="H891">
        <v>0</v>
      </c>
      <c r="I891">
        <v>0</v>
      </c>
      <c r="J891">
        <v>0</v>
      </c>
      <c r="K891">
        <v>0</v>
      </c>
      <c r="L891">
        <v>0</v>
      </c>
      <c r="M891">
        <v>0</v>
      </c>
      <c r="N891">
        <v>0</v>
      </c>
      <c r="O891">
        <v>0</v>
      </c>
      <c r="P891" s="5">
        <f t="shared" si="145"/>
        <v>0</v>
      </c>
      <c r="Q891">
        <f t="shared" si="146"/>
        <v>0</v>
      </c>
      <c r="R891">
        <f t="shared" si="147"/>
        <v>0</v>
      </c>
      <c r="S891">
        <f t="shared" si="148"/>
        <v>0</v>
      </c>
      <c r="T891">
        <f t="shared" si="149"/>
        <v>0</v>
      </c>
      <c r="U891">
        <f t="shared" si="150"/>
        <v>0</v>
      </c>
      <c r="V891">
        <f t="shared" si="151"/>
        <v>0</v>
      </c>
      <c r="W891">
        <f t="shared" si="152"/>
        <v>0</v>
      </c>
      <c r="X891">
        <f t="shared" si="153"/>
        <v>0</v>
      </c>
      <c r="Y891">
        <f t="shared" si="154"/>
        <v>0</v>
      </c>
      <c r="Z891">
        <f t="shared" si="155"/>
        <v>0</v>
      </c>
      <c r="AA891" t="str">
        <f>INDEX('Priority activities'!$D$5:$D$86,MATCH('Database for analysis'!C891,'Priority activities'!$C$5:$C$86,0))</f>
        <v>n/a</v>
      </c>
    </row>
    <row r="892" spans="2:27" ht="16.5" thickTop="1" thickBot="1" x14ac:dyDescent="0.3">
      <c r="B892" t="s">
        <v>727</v>
      </c>
      <c r="C892" s="22" t="str">
        <f>'Costing inputs'!$C$403</f>
        <v>Data collection books (n/a)</v>
      </c>
      <c r="D892" s="22" t="str">
        <f>'Costing inputs'!$U$403</f>
        <v>Health facilities (service delivery points)</v>
      </c>
      <c r="E892" s="22" t="str">
        <f>'Regional splits'!$L$14</f>
        <v>Western</v>
      </c>
      <c r="F892">
        <v>0</v>
      </c>
      <c r="G892">
        <v>0</v>
      </c>
      <c r="H892">
        <v>0</v>
      </c>
      <c r="I892">
        <v>0</v>
      </c>
      <c r="J892">
        <v>0</v>
      </c>
      <c r="K892">
        <v>0</v>
      </c>
      <c r="L892">
        <v>0</v>
      </c>
      <c r="M892">
        <v>0</v>
      </c>
      <c r="N892">
        <v>0</v>
      </c>
      <c r="O892">
        <v>0</v>
      </c>
      <c r="P892" s="5">
        <f t="shared" si="145"/>
        <v>0</v>
      </c>
      <c r="Q892">
        <f t="shared" si="146"/>
        <v>0</v>
      </c>
      <c r="R892">
        <f t="shared" si="147"/>
        <v>0</v>
      </c>
      <c r="S892">
        <f t="shared" si="148"/>
        <v>0</v>
      </c>
      <c r="T892">
        <f t="shared" si="149"/>
        <v>0</v>
      </c>
      <c r="U892">
        <f t="shared" si="150"/>
        <v>0</v>
      </c>
      <c r="V892">
        <f t="shared" si="151"/>
        <v>0</v>
      </c>
      <c r="W892">
        <f t="shared" si="152"/>
        <v>0</v>
      </c>
      <c r="X892">
        <f t="shared" si="153"/>
        <v>0</v>
      </c>
      <c r="Y892">
        <f t="shared" si="154"/>
        <v>0</v>
      </c>
      <c r="Z892">
        <f t="shared" si="155"/>
        <v>0</v>
      </c>
      <c r="AA892" t="str">
        <f>INDEX('Priority activities'!$D$5:$D$86,MATCH('Database for analysis'!C892,'Priority activities'!$C$5:$C$86,0))</f>
        <v>n/a</v>
      </c>
    </row>
    <row r="893" spans="2:27" ht="16.5" thickTop="1" thickBot="1" x14ac:dyDescent="0.3">
      <c r="B893" t="s">
        <v>727</v>
      </c>
      <c r="C893" s="22" t="str">
        <f>'Costing inputs'!$C$403</f>
        <v>Data collection books (n/a)</v>
      </c>
      <c r="D893" s="22" t="str">
        <f>'Costing inputs'!$U$403</f>
        <v>Health facilities (service delivery points)</v>
      </c>
      <c r="E893" s="22">
        <f>'Regional splits'!$M$14</f>
        <v>0</v>
      </c>
      <c r="F893">
        <v>0</v>
      </c>
      <c r="G893">
        <v>0</v>
      </c>
      <c r="H893">
        <v>0</v>
      </c>
      <c r="I893">
        <v>0</v>
      </c>
      <c r="J893">
        <v>0</v>
      </c>
      <c r="K893">
        <v>0</v>
      </c>
      <c r="L893">
        <v>0</v>
      </c>
      <c r="M893">
        <v>0</v>
      </c>
      <c r="N893">
        <v>0</v>
      </c>
      <c r="O893">
        <v>0</v>
      </c>
      <c r="P893" s="5">
        <f t="shared" si="145"/>
        <v>0</v>
      </c>
      <c r="Q893">
        <f t="shared" si="146"/>
        <v>0</v>
      </c>
      <c r="R893">
        <f t="shared" si="147"/>
        <v>0</v>
      </c>
      <c r="S893">
        <f t="shared" si="148"/>
        <v>0</v>
      </c>
      <c r="T893">
        <f t="shared" si="149"/>
        <v>0</v>
      </c>
      <c r="U893">
        <f t="shared" si="150"/>
        <v>0</v>
      </c>
      <c r="V893">
        <f t="shared" si="151"/>
        <v>0</v>
      </c>
      <c r="W893">
        <f t="shared" si="152"/>
        <v>0</v>
      </c>
      <c r="X893">
        <f t="shared" si="153"/>
        <v>0</v>
      </c>
      <c r="Y893">
        <f t="shared" si="154"/>
        <v>0</v>
      </c>
      <c r="Z893">
        <f t="shared" si="155"/>
        <v>0</v>
      </c>
      <c r="AA893" t="str">
        <f>INDEX('Priority activities'!$D$5:$D$86,MATCH('Database for analysis'!C893,'Priority activities'!$C$5:$C$86,0))</f>
        <v>n/a</v>
      </c>
    </row>
    <row r="894" spans="2:27" ht="16.5" thickTop="1" thickBot="1" x14ac:dyDescent="0.3">
      <c r="B894" t="s">
        <v>727</v>
      </c>
      <c r="C894" s="22" t="str">
        <f>'Costing inputs'!$C$403</f>
        <v>Data collection books (n/a)</v>
      </c>
      <c r="D894" s="22" t="str">
        <f>'Costing inputs'!$U$403</f>
        <v>Health facilities (service delivery points)</v>
      </c>
      <c r="E894" s="22">
        <f>'Regional splits'!$N$14</f>
        <v>0</v>
      </c>
      <c r="F894">
        <v>0</v>
      </c>
      <c r="G894">
        <v>0</v>
      </c>
      <c r="H894">
        <v>0</v>
      </c>
      <c r="I894">
        <v>0</v>
      </c>
      <c r="J894">
        <v>0</v>
      </c>
      <c r="K894">
        <v>0</v>
      </c>
      <c r="L894">
        <v>0</v>
      </c>
      <c r="M894">
        <v>0</v>
      </c>
      <c r="N894">
        <v>0</v>
      </c>
      <c r="O894">
        <v>0</v>
      </c>
      <c r="P894" s="5">
        <f t="shared" si="145"/>
        <v>0</v>
      </c>
      <c r="Q894">
        <f t="shared" si="146"/>
        <v>0</v>
      </c>
      <c r="R894">
        <f t="shared" si="147"/>
        <v>0</v>
      </c>
      <c r="S894">
        <f t="shared" si="148"/>
        <v>0</v>
      </c>
      <c r="T894">
        <f t="shared" si="149"/>
        <v>0</v>
      </c>
      <c r="U894">
        <f t="shared" si="150"/>
        <v>0</v>
      </c>
      <c r="V894">
        <f t="shared" si="151"/>
        <v>0</v>
      </c>
      <c r="W894">
        <f t="shared" si="152"/>
        <v>0</v>
      </c>
      <c r="X894">
        <f t="shared" si="153"/>
        <v>0</v>
      </c>
      <c r="Y894">
        <f t="shared" si="154"/>
        <v>0</v>
      </c>
      <c r="Z894">
        <f t="shared" si="155"/>
        <v>0</v>
      </c>
      <c r="AA894" t="str">
        <f>INDEX('Priority activities'!$D$5:$D$86,MATCH('Database for analysis'!C894,'Priority activities'!$C$5:$C$86,0))</f>
        <v>n/a</v>
      </c>
    </row>
    <row r="895" spans="2:27" ht="16.5" thickTop="1" thickBot="1" x14ac:dyDescent="0.3">
      <c r="B895" t="s">
        <v>727</v>
      </c>
      <c r="C895" s="22" t="str">
        <f>'Costing inputs'!$C$403</f>
        <v>Data collection books (n/a)</v>
      </c>
      <c r="D895" s="22" t="str">
        <f>'Costing inputs'!$U$403</f>
        <v>Health facilities (service delivery points)</v>
      </c>
      <c r="E895" s="22">
        <f>'Regional splits'!$O$14</f>
        <v>0</v>
      </c>
      <c r="F895">
        <v>0</v>
      </c>
      <c r="G895">
        <v>0</v>
      </c>
      <c r="H895">
        <v>0</v>
      </c>
      <c r="I895">
        <v>0</v>
      </c>
      <c r="J895">
        <v>0</v>
      </c>
      <c r="K895">
        <v>0</v>
      </c>
      <c r="L895">
        <v>0</v>
      </c>
      <c r="M895">
        <v>0</v>
      </c>
      <c r="N895">
        <v>0</v>
      </c>
      <c r="O895">
        <v>0</v>
      </c>
      <c r="P895" s="5">
        <f t="shared" si="145"/>
        <v>0</v>
      </c>
      <c r="Q895">
        <f t="shared" si="146"/>
        <v>0</v>
      </c>
      <c r="R895">
        <f t="shared" si="147"/>
        <v>0</v>
      </c>
      <c r="S895">
        <f t="shared" si="148"/>
        <v>0</v>
      </c>
      <c r="T895">
        <f t="shared" si="149"/>
        <v>0</v>
      </c>
      <c r="U895">
        <f t="shared" si="150"/>
        <v>0</v>
      </c>
      <c r="V895">
        <f t="shared" si="151"/>
        <v>0</v>
      </c>
      <c r="W895">
        <f t="shared" si="152"/>
        <v>0</v>
      </c>
      <c r="X895">
        <f t="shared" si="153"/>
        <v>0</v>
      </c>
      <c r="Y895">
        <f t="shared" si="154"/>
        <v>0</v>
      </c>
      <c r="Z895">
        <f t="shared" si="155"/>
        <v>0</v>
      </c>
      <c r="AA895" t="str">
        <f>INDEX('Priority activities'!$D$5:$D$86,MATCH('Database for analysis'!C895,'Priority activities'!$C$5:$C$86,0))</f>
        <v>n/a</v>
      </c>
    </row>
    <row r="896" spans="2:27" ht="16.5" thickTop="1" thickBot="1" x14ac:dyDescent="0.3">
      <c r="B896" t="s">
        <v>727</v>
      </c>
      <c r="C896" s="22" t="str">
        <f>'Costing inputs'!$C$403</f>
        <v>Data collection books (n/a)</v>
      </c>
      <c r="D896" s="22" t="str">
        <f>'Costing inputs'!$U$403</f>
        <v>Health facilities (service delivery points)</v>
      </c>
      <c r="E896" s="22">
        <f>'Regional splits'!$P$14</f>
        <v>0</v>
      </c>
      <c r="F896">
        <v>0</v>
      </c>
      <c r="G896">
        <v>0</v>
      </c>
      <c r="H896">
        <v>0</v>
      </c>
      <c r="I896">
        <v>0</v>
      </c>
      <c r="J896">
        <v>0</v>
      </c>
      <c r="K896">
        <v>0</v>
      </c>
      <c r="L896">
        <v>0</v>
      </c>
      <c r="M896">
        <v>0</v>
      </c>
      <c r="N896">
        <v>0</v>
      </c>
      <c r="O896">
        <v>0</v>
      </c>
      <c r="P896" s="5">
        <f t="shared" si="145"/>
        <v>0</v>
      </c>
      <c r="Q896">
        <f t="shared" si="146"/>
        <v>0</v>
      </c>
      <c r="R896">
        <f t="shared" si="147"/>
        <v>0</v>
      </c>
      <c r="S896">
        <f t="shared" si="148"/>
        <v>0</v>
      </c>
      <c r="T896">
        <f t="shared" si="149"/>
        <v>0</v>
      </c>
      <c r="U896">
        <f t="shared" si="150"/>
        <v>0</v>
      </c>
      <c r="V896">
        <f t="shared" si="151"/>
        <v>0</v>
      </c>
      <c r="W896">
        <f t="shared" si="152"/>
        <v>0</v>
      </c>
      <c r="X896">
        <f t="shared" si="153"/>
        <v>0</v>
      </c>
      <c r="Y896">
        <f t="shared" si="154"/>
        <v>0</v>
      </c>
      <c r="Z896">
        <f t="shared" si="155"/>
        <v>0</v>
      </c>
      <c r="AA896" t="str">
        <f>INDEX('Priority activities'!$D$5:$D$86,MATCH('Database for analysis'!C896,'Priority activities'!$C$5:$C$86,0))</f>
        <v>n/a</v>
      </c>
    </row>
    <row r="897" spans="2:27" ht="16.5" thickTop="1" thickBot="1" x14ac:dyDescent="0.3">
      <c r="B897" t="s">
        <v>727</v>
      </c>
      <c r="C897" s="22" t="str">
        <f>'Costing inputs'!$C$403</f>
        <v>Data collection books (n/a)</v>
      </c>
      <c r="D897" s="22" t="str">
        <f>'Costing inputs'!$U$403</f>
        <v>Health facilities (service delivery points)</v>
      </c>
      <c r="E897" s="22">
        <f>'Regional splits'!$Q$14</f>
        <v>0</v>
      </c>
      <c r="F897">
        <v>0</v>
      </c>
      <c r="G897">
        <v>0</v>
      </c>
      <c r="H897">
        <v>0</v>
      </c>
      <c r="I897">
        <v>0</v>
      </c>
      <c r="J897">
        <v>0</v>
      </c>
      <c r="K897">
        <v>0</v>
      </c>
      <c r="L897">
        <v>0</v>
      </c>
      <c r="M897">
        <v>0</v>
      </c>
      <c r="N897">
        <v>0</v>
      </c>
      <c r="O897">
        <v>0</v>
      </c>
      <c r="P897" s="5">
        <f t="shared" si="145"/>
        <v>0</v>
      </c>
      <c r="Q897">
        <f t="shared" si="146"/>
        <v>0</v>
      </c>
      <c r="R897">
        <f t="shared" si="147"/>
        <v>0</v>
      </c>
      <c r="S897">
        <f t="shared" si="148"/>
        <v>0</v>
      </c>
      <c r="T897">
        <f t="shared" si="149"/>
        <v>0</v>
      </c>
      <c r="U897">
        <f t="shared" si="150"/>
        <v>0</v>
      </c>
      <c r="V897">
        <f t="shared" si="151"/>
        <v>0</v>
      </c>
      <c r="W897">
        <f t="shared" si="152"/>
        <v>0</v>
      </c>
      <c r="X897">
        <f t="shared" si="153"/>
        <v>0</v>
      </c>
      <c r="Y897">
        <f t="shared" si="154"/>
        <v>0</v>
      </c>
      <c r="Z897">
        <f t="shared" si="155"/>
        <v>0</v>
      </c>
      <c r="AA897" t="str">
        <f>INDEX('Priority activities'!$D$5:$D$86,MATCH('Database for analysis'!C897,'Priority activities'!$C$5:$C$86,0))</f>
        <v>n/a</v>
      </c>
    </row>
    <row r="898" spans="2:27" ht="16.5" thickTop="1" thickBot="1" x14ac:dyDescent="0.3">
      <c r="B898" t="s">
        <v>727</v>
      </c>
      <c r="C898" s="22" t="str">
        <f>'Costing inputs'!$C$403</f>
        <v>Data collection books (n/a)</v>
      </c>
      <c r="D898" s="22" t="str">
        <f>'Costing inputs'!$U$403</f>
        <v>Health facilities (service delivery points)</v>
      </c>
      <c r="E898" s="22" t="str">
        <f>'Regional splits'!$R$14</f>
        <v>National-level</v>
      </c>
      <c r="F898">
        <v>0</v>
      </c>
      <c r="G898">
        <v>0</v>
      </c>
      <c r="H898">
        <v>0</v>
      </c>
      <c r="I898">
        <v>0</v>
      </c>
      <c r="J898">
        <v>0</v>
      </c>
      <c r="K898">
        <v>0</v>
      </c>
      <c r="L898">
        <v>0</v>
      </c>
      <c r="M898">
        <v>0</v>
      </c>
      <c r="N898">
        <v>0</v>
      </c>
      <c r="O898">
        <v>0</v>
      </c>
      <c r="P898" s="5">
        <f t="shared" si="145"/>
        <v>0</v>
      </c>
      <c r="Q898">
        <f t="shared" si="146"/>
        <v>0</v>
      </c>
      <c r="R898">
        <f t="shared" si="147"/>
        <v>0</v>
      </c>
      <c r="S898">
        <f t="shared" si="148"/>
        <v>0</v>
      </c>
      <c r="T898">
        <f t="shared" si="149"/>
        <v>0</v>
      </c>
      <c r="U898">
        <f t="shared" si="150"/>
        <v>0</v>
      </c>
      <c r="V898">
        <f t="shared" si="151"/>
        <v>0</v>
      </c>
      <c r="W898">
        <f t="shared" si="152"/>
        <v>0</v>
      </c>
      <c r="X898">
        <f t="shared" si="153"/>
        <v>0</v>
      </c>
      <c r="Y898">
        <f t="shared" si="154"/>
        <v>0</v>
      </c>
      <c r="Z898">
        <f t="shared" si="155"/>
        <v>0</v>
      </c>
      <c r="AA898" t="str">
        <f>INDEX('Priority activities'!$D$5:$D$86,MATCH('Database for analysis'!C898,'Priority activities'!$C$5:$C$86,0))</f>
        <v>n/a</v>
      </c>
    </row>
    <row r="899" spans="2:27" ht="16.5" thickTop="1" thickBot="1" x14ac:dyDescent="0.3">
      <c r="B899" t="s">
        <v>727</v>
      </c>
      <c r="C899" s="22" t="str">
        <f>'Costing inputs'!$C$407</f>
        <v>Patient cards (n/a)</v>
      </c>
      <c r="D899" s="22" t="str">
        <f>'Costing inputs'!$U$407</f>
        <v>Population</v>
      </c>
      <c r="E899" s="22" t="str">
        <f>'Regional splits'!$C$14</f>
        <v>Central</v>
      </c>
      <c r="F899">
        <f t="array" ref="F899:O914">'Costing inputs'!S407*'Costing inputs'!AP407:AY407*TRANSPOSE('Costing inputs'!W407:AL407)</f>
        <v>0</v>
      </c>
      <c r="G899">
        <v>0</v>
      </c>
      <c r="H899">
        <v>0</v>
      </c>
      <c r="I899">
        <v>0</v>
      </c>
      <c r="J899">
        <v>0</v>
      </c>
      <c r="K899">
        <v>0</v>
      </c>
      <c r="L899">
        <v>0</v>
      </c>
      <c r="M899">
        <v>0</v>
      </c>
      <c r="N899">
        <v>0</v>
      </c>
      <c r="O899">
        <v>0</v>
      </c>
      <c r="P899" s="5">
        <f t="shared" si="145"/>
        <v>0</v>
      </c>
      <c r="Q899">
        <f t="shared" si="146"/>
        <v>0</v>
      </c>
      <c r="R899">
        <f t="shared" si="147"/>
        <v>0</v>
      </c>
      <c r="S899">
        <f t="shared" si="148"/>
        <v>0</v>
      </c>
      <c r="T899">
        <f t="shared" si="149"/>
        <v>0</v>
      </c>
      <c r="U899">
        <f t="shared" si="150"/>
        <v>0</v>
      </c>
      <c r="V899">
        <f t="shared" si="151"/>
        <v>0</v>
      </c>
      <c r="W899">
        <f t="shared" si="152"/>
        <v>0</v>
      </c>
      <c r="X899">
        <f t="shared" si="153"/>
        <v>0</v>
      </c>
      <c r="Y899">
        <f t="shared" si="154"/>
        <v>0</v>
      </c>
      <c r="Z899">
        <f t="shared" si="155"/>
        <v>0</v>
      </c>
      <c r="AA899" t="str">
        <f>INDEX('Priority activities'!$D$5:$D$86,MATCH('Database for analysis'!C899,'Priority activities'!$C$5:$C$86,0))</f>
        <v>n/a</v>
      </c>
    </row>
    <row r="900" spans="2:27" ht="16.5" thickTop="1" thickBot="1" x14ac:dyDescent="0.3">
      <c r="B900" t="s">
        <v>727</v>
      </c>
      <c r="C900" s="22" t="str">
        <f>'Costing inputs'!$C$407</f>
        <v>Patient cards (n/a)</v>
      </c>
      <c r="D900" s="22" t="str">
        <f>'Costing inputs'!$U$407</f>
        <v>Population</v>
      </c>
      <c r="E900" s="22" t="str">
        <f>'Regional splits'!$D$14</f>
        <v>Copperbelt</v>
      </c>
      <c r="F900">
        <v>0</v>
      </c>
      <c r="G900">
        <v>0</v>
      </c>
      <c r="H900">
        <v>0</v>
      </c>
      <c r="I900">
        <v>0</v>
      </c>
      <c r="J900">
        <v>0</v>
      </c>
      <c r="K900">
        <v>0</v>
      </c>
      <c r="L900">
        <v>0</v>
      </c>
      <c r="M900">
        <v>0</v>
      </c>
      <c r="N900">
        <v>0</v>
      </c>
      <c r="O900">
        <v>0</v>
      </c>
      <c r="P900" s="5">
        <f t="shared" ref="P900:P963" si="156">SUMIF(F900:O900,"&lt;&gt;#N/A")</f>
        <v>0</v>
      </c>
      <c r="Q900">
        <f t="shared" ref="Q900:Q963" si="157">IF(ISNA(F900),0,F900)</f>
        <v>0</v>
      </c>
      <c r="R900">
        <f t="shared" ref="R900:R963" si="158">IF(ISNA(G900),0,G900)</f>
        <v>0</v>
      </c>
      <c r="S900">
        <f t="shared" ref="S900:S963" si="159">IF(ISNA(H900),0,H900)</f>
        <v>0</v>
      </c>
      <c r="T900">
        <f t="shared" ref="T900:T963" si="160">IF(ISNA(I900),0,I900)</f>
        <v>0</v>
      </c>
      <c r="U900">
        <f t="shared" ref="U900:U963" si="161">IF(ISNA(J900),0,J900)</f>
        <v>0</v>
      </c>
      <c r="V900">
        <f t="shared" ref="V900:V963" si="162">IF(ISNA(K900),0,K900)</f>
        <v>0</v>
      </c>
      <c r="W900">
        <f t="shared" ref="W900:W963" si="163">IF(ISNA(L900),0,L900)</f>
        <v>0</v>
      </c>
      <c r="X900">
        <f t="shared" ref="X900:X963" si="164">IF(ISNA(M900),0,M900)</f>
        <v>0</v>
      </c>
      <c r="Y900">
        <f t="shared" ref="Y900:Y963" si="165">IF(ISNA(N900),0,N900)</f>
        <v>0</v>
      </c>
      <c r="Z900">
        <f t="shared" ref="Z900:Z963" si="166">IF(ISNA(O900),0,O900)</f>
        <v>0</v>
      </c>
      <c r="AA900" t="str">
        <f>INDEX('Priority activities'!$D$5:$D$86,MATCH('Database for analysis'!C900,'Priority activities'!$C$5:$C$86,0))</f>
        <v>n/a</v>
      </c>
    </row>
    <row r="901" spans="2:27" ht="16.5" thickTop="1" thickBot="1" x14ac:dyDescent="0.3">
      <c r="B901" t="s">
        <v>727</v>
      </c>
      <c r="C901" s="22" t="str">
        <f>'Costing inputs'!$C$407</f>
        <v>Patient cards (n/a)</v>
      </c>
      <c r="D901" s="22" t="str">
        <f>'Costing inputs'!$U$407</f>
        <v>Population</v>
      </c>
      <c r="E901" s="22" t="str">
        <f>'Regional splits'!$E$14</f>
        <v>Eastern</v>
      </c>
      <c r="F901">
        <v>0</v>
      </c>
      <c r="G901">
        <v>0</v>
      </c>
      <c r="H901">
        <v>0</v>
      </c>
      <c r="I901">
        <v>0</v>
      </c>
      <c r="J901">
        <v>0</v>
      </c>
      <c r="K901">
        <v>0</v>
      </c>
      <c r="L901">
        <v>0</v>
      </c>
      <c r="M901">
        <v>0</v>
      </c>
      <c r="N901">
        <v>0</v>
      </c>
      <c r="O901">
        <v>0</v>
      </c>
      <c r="P901" s="5">
        <f t="shared" si="156"/>
        <v>0</v>
      </c>
      <c r="Q901">
        <f t="shared" si="157"/>
        <v>0</v>
      </c>
      <c r="R901">
        <f t="shared" si="158"/>
        <v>0</v>
      </c>
      <c r="S901">
        <f t="shared" si="159"/>
        <v>0</v>
      </c>
      <c r="T901">
        <f t="shared" si="160"/>
        <v>0</v>
      </c>
      <c r="U901">
        <f t="shared" si="161"/>
        <v>0</v>
      </c>
      <c r="V901">
        <f t="shared" si="162"/>
        <v>0</v>
      </c>
      <c r="W901">
        <f t="shared" si="163"/>
        <v>0</v>
      </c>
      <c r="X901">
        <f t="shared" si="164"/>
        <v>0</v>
      </c>
      <c r="Y901">
        <f t="shared" si="165"/>
        <v>0</v>
      </c>
      <c r="Z901">
        <f t="shared" si="166"/>
        <v>0</v>
      </c>
      <c r="AA901" t="str">
        <f>INDEX('Priority activities'!$D$5:$D$86,MATCH('Database for analysis'!C901,'Priority activities'!$C$5:$C$86,0))</f>
        <v>n/a</v>
      </c>
    </row>
    <row r="902" spans="2:27" ht="16.5" thickTop="1" thickBot="1" x14ac:dyDescent="0.3">
      <c r="B902" t="s">
        <v>727</v>
      </c>
      <c r="C902" s="22" t="str">
        <f>'Costing inputs'!$C$407</f>
        <v>Patient cards (n/a)</v>
      </c>
      <c r="D902" s="22" t="str">
        <f>'Costing inputs'!$U$407</f>
        <v>Population</v>
      </c>
      <c r="E902" s="22" t="str">
        <f>'Regional splits'!$F$14</f>
        <v>Luapula</v>
      </c>
      <c r="F902">
        <v>0</v>
      </c>
      <c r="G902">
        <v>0</v>
      </c>
      <c r="H902">
        <v>0</v>
      </c>
      <c r="I902">
        <v>0</v>
      </c>
      <c r="J902">
        <v>0</v>
      </c>
      <c r="K902">
        <v>0</v>
      </c>
      <c r="L902">
        <v>0</v>
      </c>
      <c r="M902">
        <v>0</v>
      </c>
      <c r="N902">
        <v>0</v>
      </c>
      <c r="O902">
        <v>0</v>
      </c>
      <c r="P902" s="5">
        <f t="shared" si="156"/>
        <v>0</v>
      </c>
      <c r="Q902">
        <f t="shared" si="157"/>
        <v>0</v>
      </c>
      <c r="R902">
        <f t="shared" si="158"/>
        <v>0</v>
      </c>
      <c r="S902">
        <f t="shared" si="159"/>
        <v>0</v>
      </c>
      <c r="T902">
        <f t="shared" si="160"/>
        <v>0</v>
      </c>
      <c r="U902">
        <f t="shared" si="161"/>
        <v>0</v>
      </c>
      <c r="V902">
        <f t="shared" si="162"/>
        <v>0</v>
      </c>
      <c r="W902">
        <f t="shared" si="163"/>
        <v>0</v>
      </c>
      <c r="X902">
        <f t="shared" si="164"/>
        <v>0</v>
      </c>
      <c r="Y902">
        <f t="shared" si="165"/>
        <v>0</v>
      </c>
      <c r="Z902">
        <f t="shared" si="166"/>
        <v>0</v>
      </c>
      <c r="AA902" t="str">
        <f>INDEX('Priority activities'!$D$5:$D$86,MATCH('Database for analysis'!C902,'Priority activities'!$C$5:$C$86,0))</f>
        <v>n/a</v>
      </c>
    </row>
    <row r="903" spans="2:27" ht="16.5" thickTop="1" thickBot="1" x14ac:dyDescent="0.3">
      <c r="B903" t="s">
        <v>727</v>
      </c>
      <c r="C903" s="22" t="str">
        <f>'Costing inputs'!$C$407</f>
        <v>Patient cards (n/a)</v>
      </c>
      <c r="D903" s="22" t="str">
        <f>'Costing inputs'!$U$407</f>
        <v>Population</v>
      </c>
      <c r="E903" s="22" t="str">
        <f>'Regional splits'!$G$14</f>
        <v>Lusaka</v>
      </c>
      <c r="F903">
        <v>0</v>
      </c>
      <c r="G903">
        <v>0</v>
      </c>
      <c r="H903">
        <v>0</v>
      </c>
      <c r="I903">
        <v>0</v>
      </c>
      <c r="J903">
        <v>0</v>
      </c>
      <c r="K903">
        <v>0</v>
      </c>
      <c r="L903">
        <v>0</v>
      </c>
      <c r="M903">
        <v>0</v>
      </c>
      <c r="N903">
        <v>0</v>
      </c>
      <c r="O903">
        <v>0</v>
      </c>
      <c r="P903" s="5">
        <f t="shared" si="156"/>
        <v>0</v>
      </c>
      <c r="Q903">
        <f t="shared" si="157"/>
        <v>0</v>
      </c>
      <c r="R903">
        <f t="shared" si="158"/>
        <v>0</v>
      </c>
      <c r="S903">
        <f t="shared" si="159"/>
        <v>0</v>
      </c>
      <c r="T903">
        <f t="shared" si="160"/>
        <v>0</v>
      </c>
      <c r="U903">
        <f t="shared" si="161"/>
        <v>0</v>
      </c>
      <c r="V903">
        <f t="shared" si="162"/>
        <v>0</v>
      </c>
      <c r="W903">
        <f t="shared" si="163"/>
        <v>0</v>
      </c>
      <c r="X903">
        <f t="shared" si="164"/>
        <v>0</v>
      </c>
      <c r="Y903">
        <f t="shared" si="165"/>
        <v>0</v>
      </c>
      <c r="Z903">
        <f t="shared" si="166"/>
        <v>0</v>
      </c>
      <c r="AA903" t="str">
        <f>INDEX('Priority activities'!$D$5:$D$86,MATCH('Database for analysis'!C903,'Priority activities'!$C$5:$C$86,0))</f>
        <v>n/a</v>
      </c>
    </row>
    <row r="904" spans="2:27" ht="16.5" thickTop="1" thickBot="1" x14ac:dyDescent="0.3">
      <c r="B904" t="s">
        <v>727</v>
      </c>
      <c r="C904" s="22" t="str">
        <f>'Costing inputs'!$C$407</f>
        <v>Patient cards (n/a)</v>
      </c>
      <c r="D904" s="22" t="str">
        <f>'Costing inputs'!$U$407</f>
        <v>Population</v>
      </c>
      <c r="E904" s="22" t="str">
        <f>'Regional splits'!$H$14</f>
        <v>Muchinga</v>
      </c>
      <c r="F904">
        <v>0</v>
      </c>
      <c r="G904">
        <v>0</v>
      </c>
      <c r="H904">
        <v>0</v>
      </c>
      <c r="I904">
        <v>0</v>
      </c>
      <c r="J904">
        <v>0</v>
      </c>
      <c r="K904">
        <v>0</v>
      </c>
      <c r="L904">
        <v>0</v>
      </c>
      <c r="M904">
        <v>0</v>
      </c>
      <c r="N904">
        <v>0</v>
      </c>
      <c r="O904">
        <v>0</v>
      </c>
      <c r="P904" s="5">
        <f t="shared" si="156"/>
        <v>0</v>
      </c>
      <c r="Q904">
        <f t="shared" si="157"/>
        <v>0</v>
      </c>
      <c r="R904">
        <f t="shared" si="158"/>
        <v>0</v>
      </c>
      <c r="S904">
        <f t="shared" si="159"/>
        <v>0</v>
      </c>
      <c r="T904">
        <f t="shared" si="160"/>
        <v>0</v>
      </c>
      <c r="U904">
        <f t="shared" si="161"/>
        <v>0</v>
      </c>
      <c r="V904">
        <f t="shared" si="162"/>
        <v>0</v>
      </c>
      <c r="W904">
        <f t="shared" si="163"/>
        <v>0</v>
      </c>
      <c r="X904">
        <f t="shared" si="164"/>
        <v>0</v>
      </c>
      <c r="Y904">
        <f t="shared" si="165"/>
        <v>0</v>
      </c>
      <c r="Z904">
        <f t="shared" si="166"/>
        <v>0</v>
      </c>
      <c r="AA904" t="str">
        <f>INDEX('Priority activities'!$D$5:$D$86,MATCH('Database for analysis'!C904,'Priority activities'!$C$5:$C$86,0))</f>
        <v>n/a</v>
      </c>
    </row>
    <row r="905" spans="2:27" ht="16.5" thickTop="1" thickBot="1" x14ac:dyDescent="0.3">
      <c r="B905" t="s">
        <v>727</v>
      </c>
      <c r="C905" s="22" t="str">
        <f>'Costing inputs'!$C$407</f>
        <v>Patient cards (n/a)</v>
      </c>
      <c r="D905" s="22" t="str">
        <f>'Costing inputs'!$U$407</f>
        <v>Population</v>
      </c>
      <c r="E905" s="22" t="str">
        <f>'Regional splits'!$I$14</f>
        <v>Northern</v>
      </c>
      <c r="F905">
        <v>0</v>
      </c>
      <c r="G905">
        <v>0</v>
      </c>
      <c r="H905">
        <v>0</v>
      </c>
      <c r="I905">
        <v>0</v>
      </c>
      <c r="J905">
        <v>0</v>
      </c>
      <c r="K905">
        <v>0</v>
      </c>
      <c r="L905">
        <v>0</v>
      </c>
      <c r="M905">
        <v>0</v>
      </c>
      <c r="N905">
        <v>0</v>
      </c>
      <c r="O905">
        <v>0</v>
      </c>
      <c r="P905" s="5">
        <f t="shared" si="156"/>
        <v>0</v>
      </c>
      <c r="Q905">
        <f t="shared" si="157"/>
        <v>0</v>
      </c>
      <c r="R905">
        <f t="shared" si="158"/>
        <v>0</v>
      </c>
      <c r="S905">
        <f t="shared" si="159"/>
        <v>0</v>
      </c>
      <c r="T905">
        <f t="shared" si="160"/>
        <v>0</v>
      </c>
      <c r="U905">
        <f t="shared" si="161"/>
        <v>0</v>
      </c>
      <c r="V905">
        <f t="shared" si="162"/>
        <v>0</v>
      </c>
      <c r="W905">
        <f t="shared" si="163"/>
        <v>0</v>
      </c>
      <c r="X905">
        <f t="shared" si="164"/>
        <v>0</v>
      </c>
      <c r="Y905">
        <f t="shared" si="165"/>
        <v>0</v>
      </c>
      <c r="Z905">
        <f t="shared" si="166"/>
        <v>0</v>
      </c>
      <c r="AA905" t="str">
        <f>INDEX('Priority activities'!$D$5:$D$86,MATCH('Database for analysis'!C905,'Priority activities'!$C$5:$C$86,0))</f>
        <v>n/a</v>
      </c>
    </row>
    <row r="906" spans="2:27" ht="16.5" thickTop="1" thickBot="1" x14ac:dyDescent="0.3">
      <c r="B906" t="s">
        <v>727</v>
      </c>
      <c r="C906" s="22" t="str">
        <f>'Costing inputs'!$C$407</f>
        <v>Patient cards (n/a)</v>
      </c>
      <c r="D906" s="22" t="str">
        <f>'Costing inputs'!$U$407</f>
        <v>Population</v>
      </c>
      <c r="E906" s="22" t="str">
        <f>'Regional splits'!$J$14</f>
        <v>North Western</v>
      </c>
      <c r="F906">
        <v>0</v>
      </c>
      <c r="G906">
        <v>0</v>
      </c>
      <c r="H906">
        <v>0</v>
      </c>
      <c r="I906">
        <v>0</v>
      </c>
      <c r="J906">
        <v>0</v>
      </c>
      <c r="K906">
        <v>0</v>
      </c>
      <c r="L906">
        <v>0</v>
      </c>
      <c r="M906">
        <v>0</v>
      </c>
      <c r="N906">
        <v>0</v>
      </c>
      <c r="O906">
        <v>0</v>
      </c>
      <c r="P906" s="5">
        <f t="shared" si="156"/>
        <v>0</v>
      </c>
      <c r="Q906">
        <f t="shared" si="157"/>
        <v>0</v>
      </c>
      <c r="R906">
        <f t="shared" si="158"/>
        <v>0</v>
      </c>
      <c r="S906">
        <f t="shared" si="159"/>
        <v>0</v>
      </c>
      <c r="T906">
        <f t="shared" si="160"/>
        <v>0</v>
      </c>
      <c r="U906">
        <f t="shared" si="161"/>
        <v>0</v>
      </c>
      <c r="V906">
        <f t="shared" si="162"/>
        <v>0</v>
      </c>
      <c r="W906">
        <f t="shared" si="163"/>
        <v>0</v>
      </c>
      <c r="X906">
        <f t="shared" si="164"/>
        <v>0</v>
      </c>
      <c r="Y906">
        <f t="shared" si="165"/>
        <v>0</v>
      </c>
      <c r="Z906">
        <f t="shared" si="166"/>
        <v>0</v>
      </c>
      <c r="AA906" t="str">
        <f>INDEX('Priority activities'!$D$5:$D$86,MATCH('Database for analysis'!C906,'Priority activities'!$C$5:$C$86,0))</f>
        <v>n/a</v>
      </c>
    </row>
    <row r="907" spans="2:27" ht="16.5" thickTop="1" thickBot="1" x14ac:dyDescent="0.3">
      <c r="B907" t="s">
        <v>727</v>
      </c>
      <c r="C907" s="22" t="str">
        <f>'Costing inputs'!$C$407</f>
        <v>Patient cards (n/a)</v>
      </c>
      <c r="D907" s="22" t="str">
        <f>'Costing inputs'!$U$407</f>
        <v>Population</v>
      </c>
      <c r="E907" s="22" t="str">
        <f>'Regional splits'!$K$14</f>
        <v>Southern</v>
      </c>
      <c r="F907">
        <v>0</v>
      </c>
      <c r="G907">
        <v>0</v>
      </c>
      <c r="H907">
        <v>0</v>
      </c>
      <c r="I907">
        <v>0</v>
      </c>
      <c r="J907">
        <v>0</v>
      </c>
      <c r="K907">
        <v>0</v>
      </c>
      <c r="L907">
        <v>0</v>
      </c>
      <c r="M907">
        <v>0</v>
      </c>
      <c r="N907">
        <v>0</v>
      </c>
      <c r="O907">
        <v>0</v>
      </c>
      <c r="P907" s="5">
        <f t="shared" si="156"/>
        <v>0</v>
      </c>
      <c r="Q907">
        <f t="shared" si="157"/>
        <v>0</v>
      </c>
      <c r="R907">
        <f t="shared" si="158"/>
        <v>0</v>
      </c>
      <c r="S907">
        <f t="shared" si="159"/>
        <v>0</v>
      </c>
      <c r="T907">
        <f t="shared" si="160"/>
        <v>0</v>
      </c>
      <c r="U907">
        <f t="shared" si="161"/>
        <v>0</v>
      </c>
      <c r="V907">
        <f t="shared" si="162"/>
        <v>0</v>
      </c>
      <c r="W907">
        <f t="shared" si="163"/>
        <v>0</v>
      </c>
      <c r="X907">
        <f t="shared" si="164"/>
        <v>0</v>
      </c>
      <c r="Y907">
        <f t="shared" si="165"/>
        <v>0</v>
      </c>
      <c r="Z907">
        <f t="shared" si="166"/>
        <v>0</v>
      </c>
      <c r="AA907" t="str">
        <f>INDEX('Priority activities'!$D$5:$D$86,MATCH('Database for analysis'!C907,'Priority activities'!$C$5:$C$86,0))</f>
        <v>n/a</v>
      </c>
    </row>
    <row r="908" spans="2:27" ht="16.5" thickTop="1" thickBot="1" x14ac:dyDescent="0.3">
      <c r="B908" t="s">
        <v>727</v>
      </c>
      <c r="C908" s="22" t="str">
        <f>'Costing inputs'!$C$407</f>
        <v>Patient cards (n/a)</v>
      </c>
      <c r="D908" s="22" t="str">
        <f>'Costing inputs'!$U$407</f>
        <v>Population</v>
      </c>
      <c r="E908" s="22" t="str">
        <f>'Regional splits'!$L$14</f>
        <v>Western</v>
      </c>
      <c r="F908">
        <v>0</v>
      </c>
      <c r="G908">
        <v>0</v>
      </c>
      <c r="H908">
        <v>0</v>
      </c>
      <c r="I908">
        <v>0</v>
      </c>
      <c r="J908">
        <v>0</v>
      </c>
      <c r="K908">
        <v>0</v>
      </c>
      <c r="L908">
        <v>0</v>
      </c>
      <c r="M908">
        <v>0</v>
      </c>
      <c r="N908">
        <v>0</v>
      </c>
      <c r="O908">
        <v>0</v>
      </c>
      <c r="P908" s="5">
        <f t="shared" si="156"/>
        <v>0</v>
      </c>
      <c r="Q908">
        <f t="shared" si="157"/>
        <v>0</v>
      </c>
      <c r="R908">
        <f t="shared" si="158"/>
        <v>0</v>
      </c>
      <c r="S908">
        <f t="shared" si="159"/>
        <v>0</v>
      </c>
      <c r="T908">
        <f t="shared" si="160"/>
        <v>0</v>
      </c>
      <c r="U908">
        <f t="shared" si="161"/>
        <v>0</v>
      </c>
      <c r="V908">
        <f t="shared" si="162"/>
        <v>0</v>
      </c>
      <c r="W908">
        <f t="shared" si="163"/>
        <v>0</v>
      </c>
      <c r="X908">
        <f t="shared" si="164"/>
        <v>0</v>
      </c>
      <c r="Y908">
        <f t="shared" si="165"/>
        <v>0</v>
      </c>
      <c r="Z908">
        <f t="shared" si="166"/>
        <v>0</v>
      </c>
      <c r="AA908" t="str">
        <f>INDEX('Priority activities'!$D$5:$D$86,MATCH('Database for analysis'!C908,'Priority activities'!$C$5:$C$86,0))</f>
        <v>n/a</v>
      </c>
    </row>
    <row r="909" spans="2:27" ht="16.5" thickTop="1" thickBot="1" x14ac:dyDescent="0.3">
      <c r="B909" t="s">
        <v>727</v>
      </c>
      <c r="C909" s="22" t="str">
        <f>'Costing inputs'!$C$407</f>
        <v>Patient cards (n/a)</v>
      </c>
      <c r="D909" s="22" t="str">
        <f>'Costing inputs'!$U$407</f>
        <v>Population</v>
      </c>
      <c r="E909" s="22">
        <f>'Regional splits'!$M$14</f>
        <v>0</v>
      </c>
      <c r="F909">
        <v>0</v>
      </c>
      <c r="G909">
        <v>0</v>
      </c>
      <c r="H909">
        <v>0</v>
      </c>
      <c r="I909">
        <v>0</v>
      </c>
      <c r="J909">
        <v>0</v>
      </c>
      <c r="K909">
        <v>0</v>
      </c>
      <c r="L909">
        <v>0</v>
      </c>
      <c r="M909">
        <v>0</v>
      </c>
      <c r="N909">
        <v>0</v>
      </c>
      <c r="O909">
        <v>0</v>
      </c>
      <c r="P909" s="5">
        <f t="shared" si="156"/>
        <v>0</v>
      </c>
      <c r="Q909">
        <f t="shared" si="157"/>
        <v>0</v>
      </c>
      <c r="R909">
        <f t="shared" si="158"/>
        <v>0</v>
      </c>
      <c r="S909">
        <f t="shared" si="159"/>
        <v>0</v>
      </c>
      <c r="T909">
        <f t="shared" si="160"/>
        <v>0</v>
      </c>
      <c r="U909">
        <f t="shared" si="161"/>
        <v>0</v>
      </c>
      <c r="V909">
        <f t="shared" si="162"/>
        <v>0</v>
      </c>
      <c r="W909">
        <f t="shared" si="163"/>
        <v>0</v>
      </c>
      <c r="X909">
        <f t="shared" si="164"/>
        <v>0</v>
      </c>
      <c r="Y909">
        <f t="shared" si="165"/>
        <v>0</v>
      </c>
      <c r="Z909">
        <f t="shared" si="166"/>
        <v>0</v>
      </c>
      <c r="AA909" t="str">
        <f>INDEX('Priority activities'!$D$5:$D$86,MATCH('Database for analysis'!C909,'Priority activities'!$C$5:$C$86,0))</f>
        <v>n/a</v>
      </c>
    </row>
    <row r="910" spans="2:27" ht="16.5" thickTop="1" thickBot="1" x14ac:dyDescent="0.3">
      <c r="B910" t="s">
        <v>727</v>
      </c>
      <c r="C910" s="22" t="str">
        <f>'Costing inputs'!$C$407</f>
        <v>Patient cards (n/a)</v>
      </c>
      <c r="D910" s="22" t="str">
        <f>'Costing inputs'!$U$407</f>
        <v>Population</v>
      </c>
      <c r="E910" s="22">
        <f>'Regional splits'!$N$14</f>
        <v>0</v>
      </c>
      <c r="F910">
        <v>0</v>
      </c>
      <c r="G910">
        <v>0</v>
      </c>
      <c r="H910">
        <v>0</v>
      </c>
      <c r="I910">
        <v>0</v>
      </c>
      <c r="J910">
        <v>0</v>
      </c>
      <c r="K910">
        <v>0</v>
      </c>
      <c r="L910">
        <v>0</v>
      </c>
      <c r="M910">
        <v>0</v>
      </c>
      <c r="N910">
        <v>0</v>
      </c>
      <c r="O910">
        <v>0</v>
      </c>
      <c r="P910" s="5">
        <f t="shared" si="156"/>
        <v>0</v>
      </c>
      <c r="Q910">
        <f t="shared" si="157"/>
        <v>0</v>
      </c>
      <c r="R910">
        <f t="shared" si="158"/>
        <v>0</v>
      </c>
      <c r="S910">
        <f t="shared" si="159"/>
        <v>0</v>
      </c>
      <c r="T910">
        <f t="shared" si="160"/>
        <v>0</v>
      </c>
      <c r="U910">
        <f t="shared" si="161"/>
        <v>0</v>
      </c>
      <c r="V910">
        <f t="shared" si="162"/>
        <v>0</v>
      </c>
      <c r="W910">
        <f t="shared" si="163"/>
        <v>0</v>
      </c>
      <c r="X910">
        <f t="shared" si="164"/>
        <v>0</v>
      </c>
      <c r="Y910">
        <f t="shared" si="165"/>
        <v>0</v>
      </c>
      <c r="Z910">
        <f t="shared" si="166"/>
        <v>0</v>
      </c>
      <c r="AA910" t="str">
        <f>INDEX('Priority activities'!$D$5:$D$86,MATCH('Database for analysis'!C910,'Priority activities'!$C$5:$C$86,0))</f>
        <v>n/a</v>
      </c>
    </row>
    <row r="911" spans="2:27" ht="16.5" thickTop="1" thickBot="1" x14ac:dyDescent="0.3">
      <c r="B911" t="s">
        <v>727</v>
      </c>
      <c r="C911" s="22" t="str">
        <f>'Costing inputs'!$C$407</f>
        <v>Patient cards (n/a)</v>
      </c>
      <c r="D911" s="22" t="str">
        <f>'Costing inputs'!$U$407</f>
        <v>Population</v>
      </c>
      <c r="E911" s="22">
        <f>'Regional splits'!$O$14</f>
        <v>0</v>
      </c>
      <c r="F911">
        <v>0</v>
      </c>
      <c r="G911">
        <v>0</v>
      </c>
      <c r="H911">
        <v>0</v>
      </c>
      <c r="I911">
        <v>0</v>
      </c>
      <c r="J911">
        <v>0</v>
      </c>
      <c r="K911">
        <v>0</v>
      </c>
      <c r="L911">
        <v>0</v>
      </c>
      <c r="M911">
        <v>0</v>
      </c>
      <c r="N911">
        <v>0</v>
      </c>
      <c r="O911">
        <v>0</v>
      </c>
      <c r="P911" s="5">
        <f t="shared" si="156"/>
        <v>0</v>
      </c>
      <c r="Q911">
        <f t="shared" si="157"/>
        <v>0</v>
      </c>
      <c r="R911">
        <f t="shared" si="158"/>
        <v>0</v>
      </c>
      <c r="S911">
        <f t="shared" si="159"/>
        <v>0</v>
      </c>
      <c r="T911">
        <f t="shared" si="160"/>
        <v>0</v>
      </c>
      <c r="U911">
        <f t="shared" si="161"/>
        <v>0</v>
      </c>
      <c r="V911">
        <f t="shared" si="162"/>
        <v>0</v>
      </c>
      <c r="W911">
        <f t="shared" si="163"/>
        <v>0</v>
      </c>
      <c r="X911">
        <f t="shared" si="164"/>
        <v>0</v>
      </c>
      <c r="Y911">
        <f t="shared" si="165"/>
        <v>0</v>
      </c>
      <c r="Z911">
        <f t="shared" si="166"/>
        <v>0</v>
      </c>
      <c r="AA911" t="str">
        <f>INDEX('Priority activities'!$D$5:$D$86,MATCH('Database for analysis'!C911,'Priority activities'!$C$5:$C$86,0))</f>
        <v>n/a</v>
      </c>
    </row>
    <row r="912" spans="2:27" ht="16.5" thickTop="1" thickBot="1" x14ac:dyDescent="0.3">
      <c r="B912" t="s">
        <v>727</v>
      </c>
      <c r="C912" s="22" t="str">
        <f>'Costing inputs'!$C$407</f>
        <v>Patient cards (n/a)</v>
      </c>
      <c r="D912" s="22" t="str">
        <f>'Costing inputs'!$U$407</f>
        <v>Population</v>
      </c>
      <c r="E912" s="22">
        <f>'Regional splits'!$P$14</f>
        <v>0</v>
      </c>
      <c r="F912">
        <v>0</v>
      </c>
      <c r="G912">
        <v>0</v>
      </c>
      <c r="H912">
        <v>0</v>
      </c>
      <c r="I912">
        <v>0</v>
      </c>
      <c r="J912">
        <v>0</v>
      </c>
      <c r="K912">
        <v>0</v>
      </c>
      <c r="L912">
        <v>0</v>
      </c>
      <c r="M912">
        <v>0</v>
      </c>
      <c r="N912">
        <v>0</v>
      </c>
      <c r="O912">
        <v>0</v>
      </c>
      <c r="P912" s="5">
        <f t="shared" si="156"/>
        <v>0</v>
      </c>
      <c r="Q912">
        <f t="shared" si="157"/>
        <v>0</v>
      </c>
      <c r="R912">
        <f t="shared" si="158"/>
        <v>0</v>
      </c>
      <c r="S912">
        <f t="shared" si="159"/>
        <v>0</v>
      </c>
      <c r="T912">
        <f t="shared" si="160"/>
        <v>0</v>
      </c>
      <c r="U912">
        <f t="shared" si="161"/>
        <v>0</v>
      </c>
      <c r="V912">
        <f t="shared" si="162"/>
        <v>0</v>
      </c>
      <c r="W912">
        <f t="shared" si="163"/>
        <v>0</v>
      </c>
      <c r="X912">
        <f t="shared" si="164"/>
        <v>0</v>
      </c>
      <c r="Y912">
        <f t="shared" si="165"/>
        <v>0</v>
      </c>
      <c r="Z912">
        <f t="shared" si="166"/>
        <v>0</v>
      </c>
      <c r="AA912" t="str">
        <f>INDEX('Priority activities'!$D$5:$D$86,MATCH('Database for analysis'!C912,'Priority activities'!$C$5:$C$86,0))</f>
        <v>n/a</v>
      </c>
    </row>
    <row r="913" spans="2:27" ht="16.5" thickTop="1" thickBot="1" x14ac:dyDescent="0.3">
      <c r="B913" t="s">
        <v>727</v>
      </c>
      <c r="C913" s="22" t="str">
        <f>'Costing inputs'!$C$407</f>
        <v>Patient cards (n/a)</v>
      </c>
      <c r="D913" s="22" t="str">
        <f>'Costing inputs'!$U$407</f>
        <v>Population</v>
      </c>
      <c r="E913" s="22">
        <f>'Regional splits'!$Q$14</f>
        <v>0</v>
      </c>
      <c r="F913">
        <v>0</v>
      </c>
      <c r="G913">
        <v>0</v>
      </c>
      <c r="H913">
        <v>0</v>
      </c>
      <c r="I913">
        <v>0</v>
      </c>
      <c r="J913">
        <v>0</v>
      </c>
      <c r="K913">
        <v>0</v>
      </c>
      <c r="L913">
        <v>0</v>
      </c>
      <c r="M913">
        <v>0</v>
      </c>
      <c r="N913">
        <v>0</v>
      </c>
      <c r="O913">
        <v>0</v>
      </c>
      <c r="P913" s="5">
        <f t="shared" si="156"/>
        <v>0</v>
      </c>
      <c r="Q913">
        <f t="shared" si="157"/>
        <v>0</v>
      </c>
      <c r="R913">
        <f t="shared" si="158"/>
        <v>0</v>
      </c>
      <c r="S913">
        <f t="shared" si="159"/>
        <v>0</v>
      </c>
      <c r="T913">
        <f t="shared" si="160"/>
        <v>0</v>
      </c>
      <c r="U913">
        <f t="shared" si="161"/>
        <v>0</v>
      </c>
      <c r="V913">
        <f t="shared" si="162"/>
        <v>0</v>
      </c>
      <c r="W913">
        <f t="shared" si="163"/>
        <v>0</v>
      </c>
      <c r="X913">
        <f t="shared" si="164"/>
        <v>0</v>
      </c>
      <c r="Y913">
        <f t="shared" si="165"/>
        <v>0</v>
      </c>
      <c r="Z913">
        <f t="shared" si="166"/>
        <v>0</v>
      </c>
      <c r="AA913" t="str">
        <f>INDEX('Priority activities'!$D$5:$D$86,MATCH('Database for analysis'!C913,'Priority activities'!$C$5:$C$86,0))</f>
        <v>n/a</v>
      </c>
    </row>
    <row r="914" spans="2:27" ht="16.5" thickTop="1" thickBot="1" x14ac:dyDescent="0.3">
      <c r="B914" t="s">
        <v>727</v>
      </c>
      <c r="C914" s="22" t="str">
        <f>'Costing inputs'!$C$407</f>
        <v>Patient cards (n/a)</v>
      </c>
      <c r="D914" s="22" t="str">
        <f>'Costing inputs'!$U$407</f>
        <v>Population</v>
      </c>
      <c r="E914" s="22" t="str">
        <f>'Regional splits'!$R$14</f>
        <v>National-level</v>
      </c>
      <c r="F914">
        <v>0</v>
      </c>
      <c r="G914">
        <v>0</v>
      </c>
      <c r="H914">
        <v>0</v>
      </c>
      <c r="I914">
        <v>0</v>
      </c>
      <c r="J914">
        <v>0</v>
      </c>
      <c r="K914">
        <v>0</v>
      </c>
      <c r="L914">
        <v>0</v>
      </c>
      <c r="M914">
        <v>0</v>
      </c>
      <c r="N914">
        <v>0</v>
      </c>
      <c r="O914">
        <v>0</v>
      </c>
      <c r="P914" s="5">
        <f t="shared" si="156"/>
        <v>0</v>
      </c>
      <c r="Q914">
        <f t="shared" si="157"/>
        <v>0</v>
      </c>
      <c r="R914">
        <f t="shared" si="158"/>
        <v>0</v>
      </c>
      <c r="S914">
        <f t="shared" si="159"/>
        <v>0</v>
      </c>
      <c r="T914">
        <f t="shared" si="160"/>
        <v>0</v>
      </c>
      <c r="U914">
        <f t="shared" si="161"/>
        <v>0</v>
      </c>
      <c r="V914">
        <f t="shared" si="162"/>
        <v>0</v>
      </c>
      <c r="W914">
        <f t="shared" si="163"/>
        <v>0</v>
      </c>
      <c r="X914">
        <f t="shared" si="164"/>
        <v>0</v>
      </c>
      <c r="Y914">
        <f t="shared" si="165"/>
        <v>0</v>
      </c>
      <c r="Z914">
        <f t="shared" si="166"/>
        <v>0</v>
      </c>
      <c r="AA914" t="str">
        <f>INDEX('Priority activities'!$D$5:$D$86,MATCH('Database for analysis'!C914,'Priority activities'!$C$5:$C$86,0))</f>
        <v>n/a</v>
      </c>
    </row>
    <row r="915" spans="2:27" ht="16.5" thickTop="1" thickBot="1" x14ac:dyDescent="0.3">
      <c r="B915" t="s">
        <v>727</v>
      </c>
      <c r="C915" s="22" t="str">
        <f>'Costing inputs'!$C$409</f>
        <v>TWG meetings (SMC1.2)</v>
      </c>
      <c r="D915" s="22" t="str">
        <f>'Costing inputs'!$U$409</f>
        <v>Central level</v>
      </c>
      <c r="E915" s="22" t="str">
        <f>'Regional splits'!$C$14</f>
        <v>Central</v>
      </c>
      <c r="F915">
        <f t="array" ref="F915:O930">'Costing inputs'!S409*'Costing inputs'!AP409:AY409*TRANSPOSE('Costing inputs'!W409:AL409)</f>
        <v>0</v>
      </c>
      <c r="G915">
        <v>0</v>
      </c>
      <c r="H915">
        <v>0</v>
      </c>
      <c r="I915">
        <v>0</v>
      </c>
      <c r="J915">
        <v>0</v>
      </c>
      <c r="K915">
        <v>0</v>
      </c>
      <c r="L915">
        <v>0</v>
      </c>
      <c r="M915">
        <v>0</v>
      </c>
      <c r="N915">
        <v>0</v>
      </c>
      <c r="O915">
        <v>0</v>
      </c>
      <c r="P915" s="5">
        <f t="shared" si="156"/>
        <v>0</v>
      </c>
      <c r="Q915">
        <f t="shared" si="157"/>
        <v>0</v>
      </c>
      <c r="R915">
        <f t="shared" si="158"/>
        <v>0</v>
      </c>
      <c r="S915">
        <f t="shared" si="159"/>
        <v>0</v>
      </c>
      <c r="T915">
        <f t="shared" si="160"/>
        <v>0</v>
      </c>
      <c r="U915">
        <f t="shared" si="161"/>
        <v>0</v>
      </c>
      <c r="V915">
        <f t="shared" si="162"/>
        <v>0</v>
      </c>
      <c r="W915">
        <f t="shared" si="163"/>
        <v>0</v>
      </c>
      <c r="X915">
        <f t="shared" si="164"/>
        <v>0</v>
      </c>
      <c r="Y915">
        <f t="shared" si="165"/>
        <v>0</v>
      </c>
      <c r="Z915">
        <f t="shared" si="166"/>
        <v>0</v>
      </c>
      <c r="AA915" t="str">
        <f>INDEX('Priority activities'!$D$5:$D$86,MATCH('Database for analysis'!C915,'Priority activities'!$C$5:$C$86,0))</f>
        <v>FP governance structure and program coordination</v>
      </c>
    </row>
    <row r="916" spans="2:27" ht="16.5" thickTop="1" thickBot="1" x14ac:dyDescent="0.3">
      <c r="B916" t="s">
        <v>727</v>
      </c>
      <c r="C916" s="22" t="str">
        <f>'Costing inputs'!$C$409</f>
        <v>TWG meetings (SMC1.2)</v>
      </c>
      <c r="D916" s="22" t="str">
        <f>'Costing inputs'!$U$409</f>
        <v>Central level</v>
      </c>
      <c r="E916" s="22" t="str">
        <f>'Regional splits'!$D$14</f>
        <v>Copperbelt</v>
      </c>
      <c r="F916">
        <v>0</v>
      </c>
      <c r="G916">
        <v>0</v>
      </c>
      <c r="H916">
        <v>0</v>
      </c>
      <c r="I916">
        <v>0</v>
      </c>
      <c r="J916">
        <v>0</v>
      </c>
      <c r="K916">
        <v>0</v>
      </c>
      <c r="L916">
        <v>0</v>
      </c>
      <c r="M916">
        <v>0</v>
      </c>
      <c r="N916">
        <v>0</v>
      </c>
      <c r="O916">
        <v>0</v>
      </c>
      <c r="P916" s="5">
        <f t="shared" si="156"/>
        <v>0</v>
      </c>
      <c r="Q916">
        <f t="shared" si="157"/>
        <v>0</v>
      </c>
      <c r="R916">
        <f t="shared" si="158"/>
        <v>0</v>
      </c>
      <c r="S916">
        <f t="shared" si="159"/>
        <v>0</v>
      </c>
      <c r="T916">
        <f t="shared" si="160"/>
        <v>0</v>
      </c>
      <c r="U916">
        <f t="shared" si="161"/>
        <v>0</v>
      </c>
      <c r="V916">
        <f t="shared" si="162"/>
        <v>0</v>
      </c>
      <c r="W916">
        <f t="shared" si="163"/>
        <v>0</v>
      </c>
      <c r="X916">
        <f t="shared" si="164"/>
        <v>0</v>
      </c>
      <c r="Y916">
        <f t="shared" si="165"/>
        <v>0</v>
      </c>
      <c r="Z916">
        <f t="shared" si="166"/>
        <v>0</v>
      </c>
      <c r="AA916" t="str">
        <f>INDEX('Priority activities'!$D$5:$D$86,MATCH('Database for analysis'!C916,'Priority activities'!$C$5:$C$86,0))</f>
        <v>FP governance structure and program coordination</v>
      </c>
    </row>
    <row r="917" spans="2:27" ht="16.5" thickTop="1" thickBot="1" x14ac:dyDescent="0.3">
      <c r="B917" t="s">
        <v>727</v>
      </c>
      <c r="C917" s="22" t="str">
        <f>'Costing inputs'!$C$409</f>
        <v>TWG meetings (SMC1.2)</v>
      </c>
      <c r="D917" s="22" t="str">
        <f>'Costing inputs'!$U$409</f>
        <v>Central level</v>
      </c>
      <c r="E917" s="22" t="str">
        <f>'Regional splits'!$E$14</f>
        <v>Eastern</v>
      </c>
      <c r="F917">
        <v>0</v>
      </c>
      <c r="G917">
        <v>0</v>
      </c>
      <c r="H917">
        <v>0</v>
      </c>
      <c r="I917">
        <v>0</v>
      </c>
      <c r="J917">
        <v>0</v>
      </c>
      <c r="K917">
        <v>0</v>
      </c>
      <c r="L917">
        <v>0</v>
      </c>
      <c r="M917">
        <v>0</v>
      </c>
      <c r="N917">
        <v>0</v>
      </c>
      <c r="O917">
        <v>0</v>
      </c>
      <c r="P917" s="5">
        <f t="shared" si="156"/>
        <v>0</v>
      </c>
      <c r="Q917">
        <f t="shared" si="157"/>
        <v>0</v>
      </c>
      <c r="R917">
        <f t="shared" si="158"/>
        <v>0</v>
      </c>
      <c r="S917">
        <f t="shared" si="159"/>
        <v>0</v>
      </c>
      <c r="T917">
        <f t="shared" si="160"/>
        <v>0</v>
      </c>
      <c r="U917">
        <f t="shared" si="161"/>
        <v>0</v>
      </c>
      <c r="V917">
        <f t="shared" si="162"/>
        <v>0</v>
      </c>
      <c r="W917">
        <f t="shared" si="163"/>
        <v>0</v>
      </c>
      <c r="X917">
        <f t="shared" si="164"/>
        <v>0</v>
      </c>
      <c r="Y917">
        <f t="shared" si="165"/>
        <v>0</v>
      </c>
      <c r="Z917">
        <f t="shared" si="166"/>
        <v>0</v>
      </c>
      <c r="AA917" t="str">
        <f>INDEX('Priority activities'!$D$5:$D$86,MATCH('Database for analysis'!C917,'Priority activities'!$C$5:$C$86,0))</f>
        <v>FP governance structure and program coordination</v>
      </c>
    </row>
    <row r="918" spans="2:27" ht="16.5" thickTop="1" thickBot="1" x14ac:dyDescent="0.3">
      <c r="B918" t="s">
        <v>727</v>
      </c>
      <c r="C918" s="22" t="str">
        <f>'Costing inputs'!$C$409</f>
        <v>TWG meetings (SMC1.2)</v>
      </c>
      <c r="D918" s="22" t="str">
        <f>'Costing inputs'!$U$409</f>
        <v>Central level</v>
      </c>
      <c r="E918" s="22" t="str">
        <f>'Regional splits'!$F$14</f>
        <v>Luapula</v>
      </c>
      <c r="F918">
        <v>0</v>
      </c>
      <c r="G918">
        <v>0</v>
      </c>
      <c r="H918">
        <v>0</v>
      </c>
      <c r="I918">
        <v>0</v>
      </c>
      <c r="J918">
        <v>0</v>
      </c>
      <c r="K918">
        <v>0</v>
      </c>
      <c r="L918">
        <v>0</v>
      </c>
      <c r="M918">
        <v>0</v>
      </c>
      <c r="N918">
        <v>0</v>
      </c>
      <c r="O918">
        <v>0</v>
      </c>
      <c r="P918" s="5">
        <f t="shared" si="156"/>
        <v>0</v>
      </c>
      <c r="Q918">
        <f t="shared" si="157"/>
        <v>0</v>
      </c>
      <c r="R918">
        <f t="shared" si="158"/>
        <v>0</v>
      </c>
      <c r="S918">
        <f t="shared" si="159"/>
        <v>0</v>
      </c>
      <c r="T918">
        <f t="shared" si="160"/>
        <v>0</v>
      </c>
      <c r="U918">
        <f t="shared" si="161"/>
        <v>0</v>
      </c>
      <c r="V918">
        <f t="shared" si="162"/>
        <v>0</v>
      </c>
      <c r="W918">
        <f t="shared" si="163"/>
        <v>0</v>
      </c>
      <c r="X918">
        <f t="shared" si="164"/>
        <v>0</v>
      </c>
      <c r="Y918">
        <f t="shared" si="165"/>
        <v>0</v>
      </c>
      <c r="Z918">
        <f t="shared" si="166"/>
        <v>0</v>
      </c>
      <c r="AA918" t="str">
        <f>INDEX('Priority activities'!$D$5:$D$86,MATCH('Database for analysis'!C918,'Priority activities'!$C$5:$C$86,0))</f>
        <v>FP governance structure and program coordination</v>
      </c>
    </row>
    <row r="919" spans="2:27" ht="16.5" thickTop="1" thickBot="1" x14ac:dyDescent="0.3">
      <c r="B919" t="s">
        <v>727</v>
      </c>
      <c r="C919" s="22" t="str">
        <f>'Costing inputs'!$C$409</f>
        <v>TWG meetings (SMC1.2)</v>
      </c>
      <c r="D919" s="22" t="str">
        <f>'Costing inputs'!$U$409</f>
        <v>Central level</v>
      </c>
      <c r="E919" s="22" t="str">
        <f>'Regional splits'!$G$14</f>
        <v>Lusaka</v>
      </c>
      <c r="F919">
        <v>0</v>
      </c>
      <c r="G919">
        <v>0</v>
      </c>
      <c r="H919">
        <v>0</v>
      </c>
      <c r="I919">
        <v>0</v>
      </c>
      <c r="J919">
        <v>0</v>
      </c>
      <c r="K919">
        <v>0</v>
      </c>
      <c r="L919">
        <v>0</v>
      </c>
      <c r="M919">
        <v>0</v>
      </c>
      <c r="N919">
        <v>0</v>
      </c>
      <c r="O919">
        <v>0</v>
      </c>
      <c r="P919" s="5">
        <f t="shared" si="156"/>
        <v>0</v>
      </c>
      <c r="Q919">
        <f t="shared" si="157"/>
        <v>0</v>
      </c>
      <c r="R919">
        <f t="shared" si="158"/>
        <v>0</v>
      </c>
      <c r="S919">
        <f t="shared" si="159"/>
        <v>0</v>
      </c>
      <c r="T919">
        <f t="shared" si="160"/>
        <v>0</v>
      </c>
      <c r="U919">
        <f t="shared" si="161"/>
        <v>0</v>
      </c>
      <c r="V919">
        <f t="shared" si="162"/>
        <v>0</v>
      </c>
      <c r="W919">
        <f t="shared" si="163"/>
        <v>0</v>
      </c>
      <c r="X919">
        <f t="shared" si="164"/>
        <v>0</v>
      </c>
      <c r="Y919">
        <f t="shared" si="165"/>
        <v>0</v>
      </c>
      <c r="Z919">
        <f t="shared" si="166"/>
        <v>0</v>
      </c>
      <c r="AA919" t="str">
        <f>INDEX('Priority activities'!$D$5:$D$86,MATCH('Database for analysis'!C919,'Priority activities'!$C$5:$C$86,0))</f>
        <v>FP governance structure and program coordination</v>
      </c>
    </row>
    <row r="920" spans="2:27" ht="16.5" thickTop="1" thickBot="1" x14ac:dyDescent="0.3">
      <c r="B920" t="s">
        <v>727</v>
      </c>
      <c r="C920" s="22" t="str">
        <f>'Costing inputs'!$C$409</f>
        <v>TWG meetings (SMC1.2)</v>
      </c>
      <c r="D920" s="22" t="str">
        <f>'Costing inputs'!$U$409</f>
        <v>Central level</v>
      </c>
      <c r="E920" s="22" t="str">
        <f>'Regional splits'!$H$14</f>
        <v>Muchinga</v>
      </c>
      <c r="F920">
        <v>0</v>
      </c>
      <c r="G920">
        <v>0</v>
      </c>
      <c r="H920">
        <v>0</v>
      </c>
      <c r="I920">
        <v>0</v>
      </c>
      <c r="J920">
        <v>0</v>
      </c>
      <c r="K920">
        <v>0</v>
      </c>
      <c r="L920">
        <v>0</v>
      </c>
      <c r="M920">
        <v>0</v>
      </c>
      <c r="N920">
        <v>0</v>
      </c>
      <c r="O920">
        <v>0</v>
      </c>
      <c r="P920" s="5">
        <f t="shared" si="156"/>
        <v>0</v>
      </c>
      <c r="Q920">
        <f t="shared" si="157"/>
        <v>0</v>
      </c>
      <c r="R920">
        <f t="shared" si="158"/>
        <v>0</v>
      </c>
      <c r="S920">
        <f t="shared" si="159"/>
        <v>0</v>
      </c>
      <c r="T920">
        <f t="shared" si="160"/>
        <v>0</v>
      </c>
      <c r="U920">
        <f t="shared" si="161"/>
        <v>0</v>
      </c>
      <c r="V920">
        <f t="shared" si="162"/>
        <v>0</v>
      </c>
      <c r="W920">
        <f t="shared" si="163"/>
        <v>0</v>
      </c>
      <c r="X920">
        <f t="shared" si="164"/>
        <v>0</v>
      </c>
      <c r="Y920">
        <f t="shared" si="165"/>
        <v>0</v>
      </c>
      <c r="Z920">
        <f t="shared" si="166"/>
        <v>0</v>
      </c>
      <c r="AA920" t="str">
        <f>INDEX('Priority activities'!$D$5:$D$86,MATCH('Database for analysis'!C920,'Priority activities'!$C$5:$C$86,0))</f>
        <v>FP governance structure and program coordination</v>
      </c>
    </row>
    <row r="921" spans="2:27" ht="16.5" thickTop="1" thickBot="1" x14ac:dyDescent="0.3">
      <c r="B921" t="s">
        <v>727</v>
      </c>
      <c r="C921" s="22" t="str">
        <f>'Costing inputs'!$C$409</f>
        <v>TWG meetings (SMC1.2)</v>
      </c>
      <c r="D921" s="22" t="str">
        <f>'Costing inputs'!$U$409</f>
        <v>Central level</v>
      </c>
      <c r="E921" s="22" t="str">
        <f>'Regional splits'!$I$14</f>
        <v>Northern</v>
      </c>
      <c r="F921">
        <v>0</v>
      </c>
      <c r="G921">
        <v>0</v>
      </c>
      <c r="H921">
        <v>0</v>
      </c>
      <c r="I921">
        <v>0</v>
      </c>
      <c r="J921">
        <v>0</v>
      </c>
      <c r="K921">
        <v>0</v>
      </c>
      <c r="L921">
        <v>0</v>
      </c>
      <c r="M921">
        <v>0</v>
      </c>
      <c r="N921">
        <v>0</v>
      </c>
      <c r="O921">
        <v>0</v>
      </c>
      <c r="P921" s="5">
        <f t="shared" si="156"/>
        <v>0</v>
      </c>
      <c r="Q921">
        <f t="shared" si="157"/>
        <v>0</v>
      </c>
      <c r="R921">
        <f t="shared" si="158"/>
        <v>0</v>
      </c>
      <c r="S921">
        <f t="shared" si="159"/>
        <v>0</v>
      </c>
      <c r="T921">
        <f t="shared" si="160"/>
        <v>0</v>
      </c>
      <c r="U921">
        <f t="shared" si="161"/>
        <v>0</v>
      </c>
      <c r="V921">
        <f t="shared" si="162"/>
        <v>0</v>
      </c>
      <c r="W921">
        <f t="shared" si="163"/>
        <v>0</v>
      </c>
      <c r="X921">
        <f t="shared" si="164"/>
        <v>0</v>
      </c>
      <c r="Y921">
        <f t="shared" si="165"/>
        <v>0</v>
      </c>
      <c r="Z921">
        <f t="shared" si="166"/>
        <v>0</v>
      </c>
      <c r="AA921" t="str">
        <f>INDEX('Priority activities'!$D$5:$D$86,MATCH('Database for analysis'!C921,'Priority activities'!$C$5:$C$86,0))</f>
        <v>FP governance structure and program coordination</v>
      </c>
    </row>
    <row r="922" spans="2:27" ht="16.5" thickTop="1" thickBot="1" x14ac:dyDescent="0.3">
      <c r="B922" t="s">
        <v>727</v>
      </c>
      <c r="C922" s="22" t="str">
        <f>'Costing inputs'!$C$409</f>
        <v>TWG meetings (SMC1.2)</v>
      </c>
      <c r="D922" s="22" t="str">
        <f>'Costing inputs'!$U$409</f>
        <v>Central level</v>
      </c>
      <c r="E922" s="22" t="str">
        <f>'Regional splits'!$J$14</f>
        <v>North Western</v>
      </c>
      <c r="F922">
        <v>0</v>
      </c>
      <c r="G922">
        <v>0</v>
      </c>
      <c r="H922">
        <v>0</v>
      </c>
      <c r="I922">
        <v>0</v>
      </c>
      <c r="J922">
        <v>0</v>
      </c>
      <c r="K922">
        <v>0</v>
      </c>
      <c r="L922">
        <v>0</v>
      </c>
      <c r="M922">
        <v>0</v>
      </c>
      <c r="N922">
        <v>0</v>
      </c>
      <c r="O922">
        <v>0</v>
      </c>
      <c r="P922" s="5">
        <f t="shared" si="156"/>
        <v>0</v>
      </c>
      <c r="Q922">
        <f t="shared" si="157"/>
        <v>0</v>
      </c>
      <c r="R922">
        <f t="shared" si="158"/>
        <v>0</v>
      </c>
      <c r="S922">
        <f t="shared" si="159"/>
        <v>0</v>
      </c>
      <c r="T922">
        <f t="shared" si="160"/>
        <v>0</v>
      </c>
      <c r="U922">
        <f t="shared" si="161"/>
        <v>0</v>
      </c>
      <c r="V922">
        <f t="shared" si="162"/>
        <v>0</v>
      </c>
      <c r="W922">
        <f t="shared" si="163"/>
        <v>0</v>
      </c>
      <c r="X922">
        <f t="shared" si="164"/>
        <v>0</v>
      </c>
      <c r="Y922">
        <f t="shared" si="165"/>
        <v>0</v>
      </c>
      <c r="Z922">
        <f t="shared" si="166"/>
        <v>0</v>
      </c>
      <c r="AA922" t="str">
        <f>INDEX('Priority activities'!$D$5:$D$86,MATCH('Database for analysis'!C922,'Priority activities'!$C$5:$C$86,0))</f>
        <v>FP governance structure and program coordination</v>
      </c>
    </row>
    <row r="923" spans="2:27" ht="16.5" thickTop="1" thickBot="1" x14ac:dyDescent="0.3">
      <c r="B923" t="s">
        <v>727</v>
      </c>
      <c r="C923" s="22" t="str">
        <f>'Costing inputs'!$C$409</f>
        <v>TWG meetings (SMC1.2)</v>
      </c>
      <c r="D923" s="22" t="str">
        <f>'Costing inputs'!$U$409</f>
        <v>Central level</v>
      </c>
      <c r="E923" s="22" t="str">
        <f>'Regional splits'!$K$14</f>
        <v>Southern</v>
      </c>
      <c r="F923">
        <v>0</v>
      </c>
      <c r="G923">
        <v>0</v>
      </c>
      <c r="H923">
        <v>0</v>
      </c>
      <c r="I923">
        <v>0</v>
      </c>
      <c r="J923">
        <v>0</v>
      </c>
      <c r="K923">
        <v>0</v>
      </c>
      <c r="L923">
        <v>0</v>
      </c>
      <c r="M923">
        <v>0</v>
      </c>
      <c r="N923">
        <v>0</v>
      </c>
      <c r="O923">
        <v>0</v>
      </c>
      <c r="P923" s="5">
        <f t="shared" si="156"/>
        <v>0</v>
      </c>
      <c r="Q923">
        <f t="shared" si="157"/>
        <v>0</v>
      </c>
      <c r="R923">
        <f t="shared" si="158"/>
        <v>0</v>
      </c>
      <c r="S923">
        <f t="shared" si="159"/>
        <v>0</v>
      </c>
      <c r="T923">
        <f t="shared" si="160"/>
        <v>0</v>
      </c>
      <c r="U923">
        <f t="shared" si="161"/>
        <v>0</v>
      </c>
      <c r="V923">
        <f t="shared" si="162"/>
        <v>0</v>
      </c>
      <c r="W923">
        <f t="shared" si="163"/>
        <v>0</v>
      </c>
      <c r="X923">
        <f t="shared" si="164"/>
        <v>0</v>
      </c>
      <c r="Y923">
        <f t="shared" si="165"/>
        <v>0</v>
      </c>
      <c r="Z923">
        <f t="shared" si="166"/>
        <v>0</v>
      </c>
      <c r="AA923" t="str">
        <f>INDEX('Priority activities'!$D$5:$D$86,MATCH('Database for analysis'!C923,'Priority activities'!$C$5:$C$86,0))</f>
        <v>FP governance structure and program coordination</v>
      </c>
    </row>
    <row r="924" spans="2:27" ht="16.5" thickTop="1" thickBot="1" x14ac:dyDescent="0.3">
      <c r="B924" t="s">
        <v>727</v>
      </c>
      <c r="C924" s="22" t="str">
        <f>'Costing inputs'!$C$409</f>
        <v>TWG meetings (SMC1.2)</v>
      </c>
      <c r="D924" s="22" t="str">
        <f>'Costing inputs'!$U$409</f>
        <v>Central level</v>
      </c>
      <c r="E924" s="22" t="str">
        <f>'Regional splits'!$L$14</f>
        <v>Western</v>
      </c>
      <c r="F924">
        <v>0</v>
      </c>
      <c r="G924">
        <v>0</v>
      </c>
      <c r="H924">
        <v>0</v>
      </c>
      <c r="I924">
        <v>0</v>
      </c>
      <c r="J924">
        <v>0</v>
      </c>
      <c r="K924">
        <v>0</v>
      </c>
      <c r="L924">
        <v>0</v>
      </c>
      <c r="M924">
        <v>0</v>
      </c>
      <c r="N924">
        <v>0</v>
      </c>
      <c r="O924">
        <v>0</v>
      </c>
      <c r="P924" s="5">
        <f t="shared" si="156"/>
        <v>0</v>
      </c>
      <c r="Q924">
        <f t="shared" si="157"/>
        <v>0</v>
      </c>
      <c r="R924">
        <f t="shared" si="158"/>
        <v>0</v>
      </c>
      <c r="S924">
        <f t="shared" si="159"/>
        <v>0</v>
      </c>
      <c r="T924">
        <f t="shared" si="160"/>
        <v>0</v>
      </c>
      <c r="U924">
        <f t="shared" si="161"/>
        <v>0</v>
      </c>
      <c r="V924">
        <f t="shared" si="162"/>
        <v>0</v>
      </c>
      <c r="W924">
        <f t="shared" si="163"/>
        <v>0</v>
      </c>
      <c r="X924">
        <f t="shared" si="164"/>
        <v>0</v>
      </c>
      <c r="Y924">
        <f t="shared" si="165"/>
        <v>0</v>
      </c>
      <c r="Z924">
        <f t="shared" si="166"/>
        <v>0</v>
      </c>
      <c r="AA924" t="str">
        <f>INDEX('Priority activities'!$D$5:$D$86,MATCH('Database for analysis'!C924,'Priority activities'!$C$5:$C$86,0))</f>
        <v>FP governance structure and program coordination</v>
      </c>
    </row>
    <row r="925" spans="2:27" ht="16.5" thickTop="1" thickBot="1" x14ac:dyDescent="0.3">
      <c r="B925" t="s">
        <v>727</v>
      </c>
      <c r="C925" s="22" t="str">
        <f>'Costing inputs'!$C$409</f>
        <v>TWG meetings (SMC1.2)</v>
      </c>
      <c r="D925" s="22" t="str">
        <f>'Costing inputs'!$U$409</f>
        <v>Central level</v>
      </c>
      <c r="E925" s="22">
        <f>'Regional splits'!$M$14</f>
        <v>0</v>
      </c>
      <c r="F925">
        <v>0</v>
      </c>
      <c r="G925">
        <v>0</v>
      </c>
      <c r="H925">
        <v>0</v>
      </c>
      <c r="I925">
        <v>0</v>
      </c>
      <c r="J925">
        <v>0</v>
      </c>
      <c r="K925">
        <v>0</v>
      </c>
      <c r="L925">
        <v>0</v>
      </c>
      <c r="M925">
        <v>0</v>
      </c>
      <c r="N925">
        <v>0</v>
      </c>
      <c r="O925">
        <v>0</v>
      </c>
      <c r="P925" s="5">
        <f t="shared" si="156"/>
        <v>0</v>
      </c>
      <c r="Q925">
        <f t="shared" si="157"/>
        <v>0</v>
      </c>
      <c r="R925">
        <f t="shared" si="158"/>
        <v>0</v>
      </c>
      <c r="S925">
        <f t="shared" si="159"/>
        <v>0</v>
      </c>
      <c r="T925">
        <f t="shared" si="160"/>
        <v>0</v>
      </c>
      <c r="U925">
        <f t="shared" si="161"/>
        <v>0</v>
      </c>
      <c r="V925">
        <f t="shared" si="162"/>
        <v>0</v>
      </c>
      <c r="W925">
        <f t="shared" si="163"/>
        <v>0</v>
      </c>
      <c r="X925">
        <f t="shared" si="164"/>
        <v>0</v>
      </c>
      <c r="Y925">
        <f t="shared" si="165"/>
        <v>0</v>
      </c>
      <c r="Z925">
        <f t="shared" si="166"/>
        <v>0</v>
      </c>
      <c r="AA925" t="str">
        <f>INDEX('Priority activities'!$D$5:$D$86,MATCH('Database for analysis'!C925,'Priority activities'!$C$5:$C$86,0))</f>
        <v>FP governance structure and program coordination</v>
      </c>
    </row>
    <row r="926" spans="2:27" ht="16.5" thickTop="1" thickBot="1" x14ac:dyDescent="0.3">
      <c r="B926" t="s">
        <v>727</v>
      </c>
      <c r="C926" s="22" t="str">
        <f>'Costing inputs'!$C$409</f>
        <v>TWG meetings (SMC1.2)</v>
      </c>
      <c r="D926" s="22" t="str">
        <f>'Costing inputs'!$U$409</f>
        <v>Central level</v>
      </c>
      <c r="E926" s="22">
        <f>'Regional splits'!$N$14</f>
        <v>0</v>
      </c>
      <c r="F926">
        <v>0</v>
      </c>
      <c r="G926">
        <v>0</v>
      </c>
      <c r="H926">
        <v>0</v>
      </c>
      <c r="I926">
        <v>0</v>
      </c>
      <c r="J926">
        <v>0</v>
      </c>
      <c r="K926">
        <v>0</v>
      </c>
      <c r="L926">
        <v>0</v>
      </c>
      <c r="M926">
        <v>0</v>
      </c>
      <c r="N926">
        <v>0</v>
      </c>
      <c r="O926">
        <v>0</v>
      </c>
      <c r="P926" s="5">
        <f t="shared" si="156"/>
        <v>0</v>
      </c>
      <c r="Q926">
        <f t="shared" si="157"/>
        <v>0</v>
      </c>
      <c r="R926">
        <f t="shared" si="158"/>
        <v>0</v>
      </c>
      <c r="S926">
        <f t="shared" si="159"/>
        <v>0</v>
      </c>
      <c r="T926">
        <f t="shared" si="160"/>
        <v>0</v>
      </c>
      <c r="U926">
        <f t="shared" si="161"/>
        <v>0</v>
      </c>
      <c r="V926">
        <f t="shared" si="162"/>
        <v>0</v>
      </c>
      <c r="W926">
        <f t="shared" si="163"/>
        <v>0</v>
      </c>
      <c r="X926">
        <f t="shared" si="164"/>
        <v>0</v>
      </c>
      <c r="Y926">
        <f t="shared" si="165"/>
        <v>0</v>
      </c>
      <c r="Z926">
        <f t="shared" si="166"/>
        <v>0</v>
      </c>
      <c r="AA926" t="str">
        <f>INDEX('Priority activities'!$D$5:$D$86,MATCH('Database for analysis'!C926,'Priority activities'!$C$5:$C$86,0))</f>
        <v>FP governance structure and program coordination</v>
      </c>
    </row>
    <row r="927" spans="2:27" ht="16.5" thickTop="1" thickBot="1" x14ac:dyDescent="0.3">
      <c r="B927" t="s">
        <v>727</v>
      </c>
      <c r="C927" s="22" t="str">
        <f>'Costing inputs'!$C$409</f>
        <v>TWG meetings (SMC1.2)</v>
      </c>
      <c r="D927" s="22" t="str">
        <f>'Costing inputs'!$U$409</f>
        <v>Central level</v>
      </c>
      <c r="E927" s="22">
        <f>'Regional splits'!$O$14</f>
        <v>0</v>
      </c>
      <c r="F927">
        <v>0</v>
      </c>
      <c r="G927">
        <v>0</v>
      </c>
      <c r="H927">
        <v>0</v>
      </c>
      <c r="I927">
        <v>0</v>
      </c>
      <c r="J927">
        <v>0</v>
      </c>
      <c r="K927">
        <v>0</v>
      </c>
      <c r="L927">
        <v>0</v>
      </c>
      <c r="M927">
        <v>0</v>
      </c>
      <c r="N927">
        <v>0</v>
      </c>
      <c r="O927">
        <v>0</v>
      </c>
      <c r="P927" s="5">
        <f t="shared" si="156"/>
        <v>0</v>
      </c>
      <c r="Q927">
        <f t="shared" si="157"/>
        <v>0</v>
      </c>
      <c r="R927">
        <f t="shared" si="158"/>
        <v>0</v>
      </c>
      <c r="S927">
        <f t="shared" si="159"/>
        <v>0</v>
      </c>
      <c r="T927">
        <f t="shared" si="160"/>
        <v>0</v>
      </c>
      <c r="U927">
        <f t="shared" si="161"/>
        <v>0</v>
      </c>
      <c r="V927">
        <f t="shared" si="162"/>
        <v>0</v>
      </c>
      <c r="W927">
        <f t="shared" si="163"/>
        <v>0</v>
      </c>
      <c r="X927">
        <f t="shared" si="164"/>
        <v>0</v>
      </c>
      <c r="Y927">
        <f t="shared" si="165"/>
        <v>0</v>
      </c>
      <c r="Z927">
        <f t="shared" si="166"/>
        <v>0</v>
      </c>
      <c r="AA927" t="str">
        <f>INDEX('Priority activities'!$D$5:$D$86,MATCH('Database for analysis'!C927,'Priority activities'!$C$5:$C$86,0))</f>
        <v>FP governance structure and program coordination</v>
      </c>
    </row>
    <row r="928" spans="2:27" ht="16.5" thickTop="1" thickBot="1" x14ac:dyDescent="0.3">
      <c r="B928" t="s">
        <v>727</v>
      </c>
      <c r="C928" s="22" t="str">
        <f>'Costing inputs'!$C$409</f>
        <v>TWG meetings (SMC1.2)</v>
      </c>
      <c r="D928" s="22" t="str">
        <f>'Costing inputs'!$U$409</f>
        <v>Central level</v>
      </c>
      <c r="E928" s="22">
        <f>'Regional splits'!$P$14</f>
        <v>0</v>
      </c>
      <c r="F928">
        <v>0</v>
      </c>
      <c r="G928">
        <v>0</v>
      </c>
      <c r="H928">
        <v>0</v>
      </c>
      <c r="I928">
        <v>0</v>
      </c>
      <c r="J928">
        <v>0</v>
      </c>
      <c r="K928">
        <v>0</v>
      </c>
      <c r="L928">
        <v>0</v>
      </c>
      <c r="M928">
        <v>0</v>
      </c>
      <c r="N928">
        <v>0</v>
      </c>
      <c r="O928">
        <v>0</v>
      </c>
      <c r="P928" s="5">
        <f t="shared" si="156"/>
        <v>0</v>
      </c>
      <c r="Q928">
        <f t="shared" si="157"/>
        <v>0</v>
      </c>
      <c r="R928">
        <f t="shared" si="158"/>
        <v>0</v>
      </c>
      <c r="S928">
        <f t="shared" si="159"/>
        <v>0</v>
      </c>
      <c r="T928">
        <f t="shared" si="160"/>
        <v>0</v>
      </c>
      <c r="U928">
        <f t="shared" si="161"/>
        <v>0</v>
      </c>
      <c r="V928">
        <f t="shared" si="162"/>
        <v>0</v>
      </c>
      <c r="W928">
        <f t="shared" si="163"/>
        <v>0</v>
      </c>
      <c r="X928">
        <f t="shared" si="164"/>
        <v>0</v>
      </c>
      <c r="Y928">
        <f t="shared" si="165"/>
        <v>0</v>
      </c>
      <c r="Z928">
        <f t="shared" si="166"/>
        <v>0</v>
      </c>
      <c r="AA928" t="str">
        <f>INDEX('Priority activities'!$D$5:$D$86,MATCH('Database for analysis'!C928,'Priority activities'!$C$5:$C$86,0))</f>
        <v>FP governance structure and program coordination</v>
      </c>
    </row>
    <row r="929" spans="2:27" ht="16.5" thickTop="1" thickBot="1" x14ac:dyDescent="0.3">
      <c r="B929" t="s">
        <v>727</v>
      </c>
      <c r="C929" s="22" t="str">
        <f>'Costing inputs'!$C$409</f>
        <v>TWG meetings (SMC1.2)</v>
      </c>
      <c r="D929" s="22" t="str">
        <f>'Costing inputs'!$U$409</f>
        <v>Central level</v>
      </c>
      <c r="E929" s="22">
        <f>'Regional splits'!$Q$14</f>
        <v>0</v>
      </c>
      <c r="F929">
        <v>0</v>
      </c>
      <c r="G929">
        <v>0</v>
      </c>
      <c r="H929">
        <v>0</v>
      </c>
      <c r="I929">
        <v>0</v>
      </c>
      <c r="J929">
        <v>0</v>
      </c>
      <c r="K929">
        <v>0</v>
      </c>
      <c r="L929">
        <v>0</v>
      </c>
      <c r="M929">
        <v>0</v>
      </c>
      <c r="N929">
        <v>0</v>
      </c>
      <c r="O929">
        <v>0</v>
      </c>
      <c r="P929" s="5">
        <f t="shared" si="156"/>
        <v>0</v>
      </c>
      <c r="Q929">
        <f t="shared" si="157"/>
        <v>0</v>
      </c>
      <c r="R929">
        <f t="shared" si="158"/>
        <v>0</v>
      </c>
      <c r="S929">
        <f t="shared" si="159"/>
        <v>0</v>
      </c>
      <c r="T929">
        <f t="shared" si="160"/>
        <v>0</v>
      </c>
      <c r="U929">
        <f t="shared" si="161"/>
        <v>0</v>
      </c>
      <c r="V929">
        <f t="shared" si="162"/>
        <v>0</v>
      </c>
      <c r="W929">
        <f t="shared" si="163"/>
        <v>0</v>
      </c>
      <c r="X929">
        <f t="shared" si="164"/>
        <v>0</v>
      </c>
      <c r="Y929">
        <f t="shared" si="165"/>
        <v>0</v>
      </c>
      <c r="Z929">
        <f t="shared" si="166"/>
        <v>0</v>
      </c>
      <c r="AA929" t="str">
        <f>INDEX('Priority activities'!$D$5:$D$86,MATCH('Database for analysis'!C929,'Priority activities'!$C$5:$C$86,0))</f>
        <v>FP governance structure and program coordination</v>
      </c>
    </row>
    <row r="930" spans="2:27" ht="16.5" thickTop="1" thickBot="1" x14ac:dyDescent="0.3">
      <c r="B930" t="s">
        <v>727</v>
      </c>
      <c r="C930" s="22" t="str">
        <f>'Costing inputs'!$C$409</f>
        <v>TWG meetings (SMC1.2)</v>
      </c>
      <c r="D930" s="22" t="str">
        <f>'Costing inputs'!$U$409</f>
        <v>Central level</v>
      </c>
      <c r="E930" s="22" t="str">
        <f>'Regional splits'!$R$14</f>
        <v>National-level</v>
      </c>
      <c r="F930">
        <v>8250</v>
      </c>
      <c r="G930">
        <v>8250</v>
      </c>
      <c r="H930">
        <v>8250</v>
      </c>
      <c r="I930">
        <v>8250</v>
      </c>
      <c r="J930">
        <v>8250</v>
      </c>
      <c r="K930">
        <v>8250</v>
      </c>
      <c r="L930">
        <v>8250</v>
      </c>
      <c r="M930">
        <v>8250</v>
      </c>
      <c r="N930">
        <v>0</v>
      </c>
      <c r="O930">
        <v>0</v>
      </c>
      <c r="P930" s="5">
        <f t="shared" si="156"/>
        <v>66000</v>
      </c>
      <c r="Q930">
        <f t="shared" si="157"/>
        <v>8250</v>
      </c>
      <c r="R930">
        <f t="shared" si="158"/>
        <v>8250</v>
      </c>
      <c r="S930">
        <f t="shared" si="159"/>
        <v>8250</v>
      </c>
      <c r="T930">
        <f t="shared" si="160"/>
        <v>8250</v>
      </c>
      <c r="U930">
        <f t="shared" si="161"/>
        <v>8250</v>
      </c>
      <c r="V930">
        <f t="shared" si="162"/>
        <v>8250</v>
      </c>
      <c r="W930">
        <f t="shared" si="163"/>
        <v>8250</v>
      </c>
      <c r="X930">
        <f t="shared" si="164"/>
        <v>8250</v>
      </c>
      <c r="Y930">
        <f t="shared" si="165"/>
        <v>0</v>
      </c>
      <c r="Z930">
        <f t="shared" si="166"/>
        <v>0</v>
      </c>
      <c r="AA930" t="str">
        <f>INDEX('Priority activities'!$D$5:$D$86,MATCH('Database for analysis'!C930,'Priority activities'!$C$5:$C$86,0))</f>
        <v>FP governance structure and program coordination</v>
      </c>
    </row>
    <row r="931" spans="2:27" ht="16.5" thickTop="1" thickBot="1" x14ac:dyDescent="0.3">
      <c r="B931" t="s">
        <v>727</v>
      </c>
      <c r="C931" s="22" t="str">
        <f>'Costing inputs'!$C$417</f>
        <v>Supervision and quality assurance (SMC3.2)</v>
      </c>
      <c r="D931" s="22" t="str">
        <f>'Costing inputs'!$U$417</f>
        <v>Health facilities (service delivery points)</v>
      </c>
      <c r="E931" s="22" t="str">
        <f>'Regional splits'!$C$14</f>
        <v>Central</v>
      </c>
      <c r="F931">
        <f t="array" ref="F931:O946">'Costing inputs'!S417*'Costing inputs'!AP417:AY417*TRANSPOSE('Costing inputs'!W417:AL417)</f>
        <v>1146706.5534915256</v>
      </c>
      <c r="G931">
        <v>1146706.5534915256</v>
      </c>
      <c r="H931">
        <v>1146706.5534915256</v>
      </c>
      <c r="I931">
        <v>1146706.5534915256</v>
      </c>
      <c r="J931">
        <v>1146706.5534915256</v>
      </c>
      <c r="K931">
        <v>1146706.5534915256</v>
      </c>
      <c r="L931">
        <v>1146706.5534915256</v>
      </c>
      <c r="M931">
        <v>1146706.5534915256</v>
      </c>
      <c r="N931">
        <v>0</v>
      </c>
      <c r="O931">
        <v>0</v>
      </c>
      <c r="P931" s="5">
        <f t="shared" si="156"/>
        <v>9173652.4279322047</v>
      </c>
      <c r="Q931">
        <f t="shared" si="157"/>
        <v>1146706.5534915256</v>
      </c>
      <c r="R931">
        <f t="shared" si="158"/>
        <v>1146706.5534915256</v>
      </c>
      <c r="S931">
        <f t="shared" si="159"/>
        <v>1146706.5534915256</v>
      </c>
      <c r="T931">
        <f t="shared" si="160"/>
        <v>1146706.5534915256</v>
      </c>
      <c r="U931">
        <f t="shared" si="161"/>
        <v>1146706.5534915256</v>
      </c>
      <c r="V931">
        <f t="shared" si="162"/>
        <v>1146706.5534915256</v>
      </c>
      <c r="W931">
        <f t="shared" si="163"/>
        <v>1146706.5534915256</v>
      </c>
      <c r="X931">
        <f t="shared" si="164"/>
        <v>1146706.5534915256</v>
      </c>
      <c r="Y931">
        <f t="shared" si="165"/>
        <v>0</v>
      </c>
      <c r="Z931">
        <f t="shared" si="166"/>
        <v>0</v>
      </c>
      <c r="AA931" t="str">
        <f>INDEX('Priority activities'!$D$5:$D$86,MATCH('Database for analysis'!C931,'Priority activities'!$C$5:$C$86,0))</f>
        <v>n/a</v>
      </c>
    </row>
    <row r="932" spans="2:27" ht="16.5" thickTop="1" thickBot="1" x14ac:dyDescent="0.3">
      <c r="B932" t="s">
        <v>727</v>
      </c>
      <c r="C932" s="22" t="str">
        <f>'Costing inputs'!$C$417</f>
        <v>Supervision and quality assurance (SMC3.2)</v>
      </c>
      <c r="D932" s="22" t="str">
        <f>'Costing inputs'!$U$417</f>
        <v>Health facilities (service delivery points)</v>
      </c>
      <c r="E932" s="22" t="str">
        <f>'Regional splits'!$D$14</f>
        <v>Copperbelt</v>
      </c>
      <c r="F932">
        <v>1369677.2722259888</v>
      </c>
      <c r="G932">
        <v>1369677.2722259888</v>
      </c>
      <c r="H932">
        <v>1369677.2722259888</v>
      </c>
      <c r="I932">
        <v>1369677.2722259888</v>
      </c>
      <c r="J932">
        <v>1369677.2722259888</v>
      </c>
      <c r="K932">
        <v>1369677.2722259888</v>
      </c>
      <c r="L932">
        <v>1369677.2722259888</v>
      </c>
      <c r="M932">
        <v>1369677.2722259888</v>
      </c>
      <c r="N932">
        <v>0</v>
      </c>
      <c r="O932">
        <v>0</v>
      </c>
      <c r="P932" s="5">
        <f t="shared" si="156"/>
        <v>10957418.17780791</v>
      </c>
      <c r="Q932">
        <f t="shared" si="157"/>
        <v>1369677.2722259888</v>
      </c>
      <c r="R932">
        <f t="shared" si="158"/>
        <v>1369677.2722259888</v>
      </c>
      <c r="S932">
        <f t="shared" si="159"/>
        <v>1369677.2722259888</v>
      </c>
      <c r="T932">
        <f t="shared" si="160"/>
        <v>1369677.2722259888</v>
      </c>
      <c r="U932">
        <f t="shared" si="161"/>
        <v>1369677.2722259888</v>
      </c>
      <c r="V932">
        <f t="shared" si="162"/>
        <v>1369677.2722259888</v>
      </c>
      <c r="W932">
        <f t="shared" si="163"/>
        <v>1369677.2722259888</v>
      </c>
      <c r="X932">
        <f t="shared" si="164"/>
        <v>1369677.2722259888</v>
      </c>
      <c r="Y932">
        <f t="shared" si="165"/>
        <v>0</v>
      </c>
      <c r="Z932">
        <f t="shared" si="166"/>
        <v>0</v>
      </c>
      <c r="AA932" t="str">
        <f>INDEX('Priority activities'!$D$5:$D$86,MATCH('Database for analysis'!C932,'Priority activities'!$C$5:$C$86,0))</f>
        <v>n/a</v>
      </c>
    </row>
    <row r="933" spans="2:27" ht="16.5" thickTop="1" thickBot="1" x14ac:dyDescent="0.3">
      <c r="B933" t="s">
        <v>727</v>
      </c>
      <c r="C933" s="22" t="str">
        <f>'Costing inputs'!$C$417</f>
        <v>Supervision and quality assurance (SMC3.2)</v>
      </c>
      <c r="D933" s="22" t="str">
        <f>'Costing inputs'!$U$417</f>
        <v>Health facilities (service delivery points)</v>
      </c>
      <c r="E933" s="22" t="str">
        <f>'Regional splits'!$E$14</f>
        <v>Eastern</v>
      </c>
      <c r="F933">
        <v>1248636.0249129944</v>
      </c>
      <c r="G933">
        <v>1248636.0249129944</v>
      </c>
      <c r="H933">
        <v>1248636.0249129944</v>
      </c>
      <c r="I933">
        <v>1248636.0249129944</v>
      </c>
      <c r="J933">
        <v>1248636.0249129944</v>
      </c>
      <c r="K933">
        <v>1248636.0249129944</v>
      </c>
      <c r="L933">
        <v>1248636.0249129944</v>
      </c>
      <c r="M933">
        <v>1248636.0249129944</v>
      </c>
      <c r="N933">
        <v>0</v>
      </c>
      <c r="O933">
        <v>0</v>
      </c>
      <c r="P933" s="5">
        <f t="shared" si="156"/>
        <v>9989088.1993039548</v>
      </c>
      <c r="Q933">
        <f t="shared" si="157"/>
        <v>1248636.0249129944</v>
      </c>
      <c r="R933">
        <f t="shared" si="158"/>
        <v>1248636.0249129944</v>
      </c>
      <c r="S933">
        <f t="shared" si="159"/>
        <v>1248636.0249129944</v>
      </c>
      <c r="T933">
        <f t="shared" si="160"/>
        <v>1248636.0249129944</v>
      </c>
      <c r="U933">
        <f t="shared" si="161"/>
        <v>1248636.0249129944</v>
      </c>
      <c r="V933">
        <f t="shared" si="162"/>
        <v>1248636.0249129944</v>
      </c>
      <c r="W933">
        <f t="shared" si="163"/>
        <v>1248636.0249129944</v>
      </c>
      <c r="X933">
        <f t="shared" si="164"/>
        <v>1248636.0249129944</v>
      </c>
      <c r="Y933">
        <f t="shared" si="165"/>
        <v>0</v>
      </c>
      <c r="Z933">
        <f t="shared" si="166"/>
        <v>0</v>
      </c>
      <c r="AA933" t="str">
        <f>INDEX('Priority activities'!$D$5:$D$86,MATCH('Database for analysis'!C933,'Priority activities'!$C$5:$C$86,0))</f>
        <v>n/a</v>
      </c>
    </row>
    <row r="934" spans="2:27" ht="16.5" thickTop="1" thickBot="1" x14ac:dyDescent="0.3">
      <c r="B934" t="s">
        <v>727</v>
      </c>
      <c r="C934" s="22" t="str">
        <f>'Costing inputs'!$C$417</f>
        <v>Supervision and quality assurance (SMC3.2)</v>
      </c>
      <c r="D934" s="22" t="str">
        <f>'Costing inputs'!$U$417</f>
        <v>Health facilities (service delivery points)</v>
      </c>
      <c r="E934" s="22" t="str">
        <f>'Regional splits'!$F$14</f>
        <v>Luapula</v>
      </c>
      <c r="F934">
        <v>866400.50708248594</v>
      </c>
      <c r="G934">
        <v>866400.50708248594</v>
      </c>
      <c r="H934">
        <v>866400.50708248594</v>
      </c>
      <c r="I934">
        <v>866400.50708248594</v>
      </c>
      <c r="J934">
        <v>866400.50708248594</v>
      </c>
      <c r="K934">
        <v>866400.50708248594</v>
      </c>
      <c r="L934">
        <v>866400.50708248594</v>
      </c>
      <c r="M934">
        <v>866400.50708248594</v>
      </c>
      <c r="N934">
        <v>0</v>
      </c>
      <c r="O934">
        <v>0</v>
      </c>
      <c r="P934" s="5">
        <f t="shared" si="156"/>
        <v>6931204.0566598866</v>
      </c>
      <c r="Q934">
        <f t="shared" si="157"/>
        <v>866400.50708248594</v>
      </c>
      <c r="R934">
        <f t="shared" si="158"/>
        <v>866400.50708248594</v>
      </c>
      <c r="S934">
        <f t="shared" si="159"/>
        <v>866400.50708248594</v>
      </c>
      <c r="T934">
        <f t="shared" si="160"/>
        <v>866400.50708248594</v>
      </c>
      <c r="U934">
        <f t="shared" si="161"/>
        <v>866400.50708248594</v>
      </c>
      <c r="V934">
        <f t="shared" si="162"/>
        <v>866400.50708248594</v>
      </c>
      <c r="W934">
        <f t="shared" si="163"/>
        <v>866400.50708248594</v>
      </c>
      <c r="X934">
        <f t="shared" si="164"/>
        <v>866400.50708248594</v>
      </c>
      <c r="Y934">
        <f t="shared" si="165"/>
        <v>0</v>
      </c>
      <c r="Z934">
        <f t="shared" si="166"/>
        <v>0</v>
      </c>
      <c r="AA934" t="str">
        <f>INDEX('Priority activities'!$D$5:$D$86,MATCH('Database for analysis'!C934,'Priority activities'!$C$5:$C$86,0))</f>
        <v>n/a</v>
      </c>
    </row>
    <row r="935" spans="2:27" ht="16.5" thickTop="1" thickBot="1" x14ac:dyDescent="0.3">
      <c r="B935" t="s">
        <v>727</v>
      </c>
      <c r="C935" s="22" t="str">
        <f>'Costing inputs'!$C$417</f>
        <v>Supervision and quality assurance (SMC3.2)</v>
      </c>
      <c r="D935" s="22" t="str">
        <f>'Costing inputs'!$U$417</f>
        <v>Health facilities (service delivery points)</v>
      </c>
      <c r="E935" s="22" t="str">
        <f>'Regional splits'!$G$14</f>
        <v>Lusaka</v>
      </c>
      <c r="F935">
        <v>1662724.5025627119</v>
      </c>
      <c r="G935">
        <v>1662724.5025627119</v>
      </c>
      <c r="H935">
        <v>1662724.5025627119</v>
      </c>
      <c r="I935">
        <v>1662724.5025627119</v>
      </c>
      <c r="J935">
        <v>1662724.5025627119</v>
      </c>
      <c r="K935">
        <v>1662724.5025627119</v>
      </c>
      <c r="L935">
        <v>1662724.5025627119</v>
      </c>
      <c r="M935">
        <v>1662724.5025627119</v>
      </c>
      <c r="N935">
        <v>0</v>
      </c>
      <c r="O935">
        <v>0</v>
      </c>
      <c r="P935" s="5">
        <f t="shared" si="156"/>
        <v>13301796.020501696</v>
      </c>
      <c r="Q935">
        <f t="shared" si="157"/>
        <v>1662724.5025627119</v>
      </c>
      <c r="R935">
        <f t="shared" si="158"/>
        <v>1662724.5025627119</v>
      </c>
      <c r="S935">
        <f t="shared" si="159"/>
        <v>1662724.5025627119</v>
      </c>
      <c r="T935">
        <f t="shared" si="160"/>
        <v>1662724.5025627119</v>
      </c>
      <c r="U935">
        <f t="shared" si="161"/>
        <v>1662724.5025627119</v>
      </c>
      <c r="V935">
        <f t="shared" si="162"/>
        <v>1662724.5025627119</v>
      </c>
      <c r="W935">
        <f t="shared" si="163"/>
        <v>1662724.5025627119</v>
      </c>
      <c r="X935">
        <f t="shared" si="164"/>
        <v>1662724.5025627119</v>
      </c>
      <c r="Y935">
        <f t="shared" si="165"/>
        <v>0</v>
      </c>
      <c r="Z935">
        <f t="shared" si="166"/>
        <v>0</v>
      </c>
      <c r="AA935" t="str">
        <f>INDEX('Priority activities'!$D$5:$D$86,MATCH('Database for analysis'!C935,'Priority activities'!$C$5:$C$86,0))</f>
        <v>n/a</v>
      </c>
    </row>
    <row r="936" spans="2:27" ht="16.5" thickTop="1" thickBot="1" x14ac:dyDescent="0.3">
      <c r="B936" t="s">
        <v>727</v>
      </c>
      <c r="C936" s="22" t="str">
        <f>'Costing inputs'!$C$417</f>
        <v>Supervision and quality assurance (SMC3.2)</v>
      </c>
      <c r="D936" s="22" t="str">
        <f>'Costing inputs'!$U$417</f>
        <v>Health facilities (service delivery points)</v>
      </c>
      <c r="E936" s="22" t="str">
        <f>'Regional splits'!$H$14</f>
        <v>Muchinga</v>
      </c>
      <c r="F936">
        <v>598835.64460112993</v>
      </c>
      <c r="G936">
        <v>598835.64460112993</v>
      </c>
      <c r="H936">
        <v>598835.64460112993</v>
      </c>
      <c r="I936">
        <v>598835.64460112993</v>
      </c>
      <c r="J936">
        <v>598835.64460112993</v>
      </c>
      <c r="K936">
        <v>598835.64460112993</v>
      </c>
      <c r="L936">
        <v>598835.64460112993</v>
      </c>
      <c r="M936">
        <v>598835.64460112993</v>
      </c>
      <c r="N936">
        <v>0</v>
      </c>
      <c r="O936">
        <v>0</v>
      </c>
      <c r="P936" s="5">
        <f t="shared" si="156"/>
        <v>4790685.1568090394</v>
      </c>
      <c r="Q936">
        <f t="shared" si="157"/>
        <v>598835.64460112993</v>
      </c>
      <c r="R936">
        <f t="shared" si="158"/>
        <v>598835.64460112993</v>
      </c>
      <c r="S936">
        <f t="shared" si="159"/>
        <v>598835.64460112993</v>
      </c>
      <c r="T936">
        <f t="shared" si="160"/>
        <v>598835.64460112993</v>
      </c>
      <c r="U936">
        <f t="shared" si="161"/>
        <v>598835.64460112993</v>
      </c>
      <c r="V936">
        <f t="shared" si="162"/>
        <v>598835.64460112993</v>
      </c>
      <c r="W936">
        <f t="shared" si="163"/>
        <v>598835.64460112993</v>
      </c>
      <c r="X936">
        <f t="shared" si="164"/>
        <v>598835.64460112993</v>
      </c>
      <c r="Y936">
        <f t="shared" si="165"/>
        <v>0</v>
      </c>
      <c r="Z936">
        <f t="shared" si="166"/>
        <v>0</v>
      </c>
      <c r="AA936" t="str">
        <f>INDEX('Priority activities'!$D$5:$D$86,MATCH('Database for analysis'!C936,'Priority activities'!$C$5:$C$86,0))</f>
        <v>n/a</v>
      </c>
    </row>
    <row r="937" spans="2:27" ht="16.5" thickTop="1" thickBot="1" x14ac:dyDescent="0.3">
      <c r="B937" t="s">
        <v>727</v>
      </c>
      <c r="C937" s="22" t="str">
        <f>'Costing inputs'!$C$417</f>
        <v>Supervision and quality assurance (SMC3.2)</v>
      </c>
      <c r="D937" s="22" t="str">
        <f>'Costing inputs'!$U$417</f>
        <v>Health facilities (service delivery points)</v>
      </c>
      <c r="E937" s="22" t="str">
        <f>'Regional splits'!$I$14</f>
        <v>Northern</v>
      </c>
      <c r="F937">
        <v>860029.91511864413</v>
      </c>
      <c r="G937">
        <v>860029.91511864413</v>
      </c>
      <c r="H937">
        <v>860029.91511864413</v>
      </c>
      <c r="I937">
        <v>860029.91511864413</v>
      </c>
      <c r="J937">
        <v>860029.91511864413</v>
      </c>
      <c r="K937">
        <v>860029.91511864413</v>
      </c>
      <c r="L937">
        <v>860029.91511864413</v>
      </c>
      <c r="M937">
        <v>860029.91511864413</v>
      </c>
      <c r="N937">
        <v>0</v>
      </c>
      <c r="O937">
        <v>0</v>
      </c>
      <c r="P937" s="5">
        <f t="shared" si="156"/>
        <v>6880239.320949153</v>
      </c>
      <c r="Q937">
        <f t="shared" si="157"/>
        <v>860029.91511864413</v>
      </c>
      <c r="R937">
        <f t="shared" si="158"/>
        <v>860029.91511864413</v>
      </c>
      <c r="S937">
        <f t="shared" si="159"/>
        <v>860029.91511864413</v>
      </c>
      <c r="T937">
        <f t="shared" si="160"/>
        <v>860029.91511864413</v>
      </c>
      <c r="U937">
        <f t="shared" si="161"/>
        <v>860029.91511864413</v>
      </c>
      <c r="V937">
        <f t="shared" si="162"/>
        <v>860029.91511864413</v>
      </c>
      <c r="W937">
        <f t="shared" si="163"/>
        <v>860029.91511864413</v>
      </c>
      <c r="X937">
        <f t="shared" si="164"/>
        <v>860029.91511864413</v>
      </c>
      <c r="Y937">
        <f t="shared" si="165"/>
        <v>0</v>
      </c>
      <c r="Z937">
        <f t="shared" si="166"/>
        <v>0</v>
      </c>
      <c r="AA937" t="str">
        <f>INDEX('Priority activities'!$D$5:$D$86,MATCH('Database for analysis'!C937,'Priority activities'!$C$5:$C$86,0))</f>
        <v>n/a</v>
      </c>
    </row>
    <row r="938" spans="2:27" ht="16.5" thickTop="1" thickBot="1" x14ac:dyDescent="0.3">
      <c r="B938" t="s">
        <v>727</v>
      </c>
      <c r="C938" s="22" t="str">
        <f>'Costing inputs'!$C$417</f>
        <v>Supervision and quality assurance (SMC3.2)</v>
      </c>
      <c r="D938" s="22" t="str">
        <f>'Costing inputs'!$U$417</f>
        <v>Health facilities (service delivery points)</v>
      </c>
      <c r="E938" s="22" t="str">
        <f>'Regional splits'!$J$14</f>
        <v>North Western</v>
      </c>
      <c r="F938">
        <v>987441.75439548027</v>
      </c>
      <c r="G938">
        <v>987441.75439548027</v>
      </c>
      <c r="H938">
        <v>987441.75439548027</v>
      </c>
      <c r="I938">
        <v>987441.75439548027</v>
      </c>
      <c r="J938">
        <v>987441.75439548027</v>
      </c>
      <c r="K938">
        <v>987441.75439548027</v>
      </c>
      <c r="L938">
        <v>987441.75439548027</v>
      </c>
      <c r="M938">
        <v>987441.75439548027</v>
      </c>
      <c r="N938">
        <v>0</v>
      </c>
      <c r="O938">
        <v>0</v>
      </c>
      <c r="P938" s="5">
        <f t="shared" si="156"/>
        <v>7899534.0351638421</v>
      </c>
      <c r="Q938">
        <f t="shared" si="157"/>
        <v>987441.75439548027</v>
      </c>
      <c r="R938">
        <f t="shared" si="158"/>
        <v>987441.75439548027</v>
      </c>
      <c r="S938">
        <f t="shared" si="159"/>
        <v>987441.75439548027</v>
      </c>
      <c r="T938">
        <f t="shared" si="160"/>
        <v>987441.75439548027</v>
      </c>
      <c r="U938">
        <f t="shared" si="161"/>
        <v>987441.75439548027</v>
      </c>
      <c r="V938">
        <f t="shared" si="162"/>
        <v>987441.75439548027</v>
      </c>
      <c r="W938">
        <f t="shared" si="163"/>
        <v>987441.75439548027</v>
      </c>
      <c r="X938">
        <f t="shared" si="164"/>
        <v>987441.75439548027</v>
      </c>
      <c r="Y938">
        <f t="shared" si="165"/>
        <v>0</v>
      </c>
      <c r="Z938">
        <f t="shared" si="166"/>
        <v>0</v>
      </c>
      <c r="AA938" t="str">
        <f>INDEX('Priority activities'!$D$5:$D$86,MATCH('Database for analysis'!C938,'Priority activities'!$C$5:$C$86,0))</f>
        <v>n/a</v>
      </c>
    </row>
    <row r="939" spans="2:27" ht="16.5" thickTop="1" thickBot="1" x14ac:dyDescent="0.3">
      <c r="B939" t="s">
        <v>727</v>
      </c>
      <c r="C939" s="22" t="str">
        <f>'Costing inputs'!$C$417</f>
        <v>Supervision and quality assurance (SMC3.2)</v>
      </c>
      <c r="D939" s="22" t="str">
        <f>'Costing inputs'!$U$417</f>
        <v>Health facilities (service delivery points)</v>
      </c>
      <c r="E939" s="22" t="str">
        <f>'Regional splits'!$K$14</f>
        <v>Southern</v>
      </c>
      <c r="F939">
        <v>1516200.8873943503</v>
      </c>
      <c r="G939">
        <v>1516200.8873943503</v>
      </c>
      <c r="H939">
        <v>1516200.8873943503</v>
      </c>
      <c r="I939">
        <v>1516200.8873943503</v>
      </c>
      <c r="J939">
        <v>1516200.8873943503</v>
      </c>
      <c r="K939">
        <v>1516200.8873943503</v>
      </c>
      <c r="L939">
        <v>1516200.8873943503</v>
      </c>
      <c r="M939">
        <v>1516200.8873943503</v>
      </c>
      <c r="N939">
        <v>0</v>
      </c>
      <c r="O939">
        <v>0</v>
      </c>
      <c r="P939" s="5">
        <f t="shared" si="156"/>
        <v>12129607.099154802</v>
      </c>
      <c r="Q939">
        <f t="shared" si="157"/>
        <v>1516200.8873943503</v>
      </c>
      <c r="R939">
        <f t="shared" si="158"/>
        <v>1516200.8873943503</v>
      </c>
      <c r="S939">
        <f t="shared" si="159"/>
        <v>1516200.8873943503</v>
      </c>
      <c r="T939">
        <f t="shared" si="160"/>
        <v>1516200.8873943503</v>
      </c>
      <c r="U939">
        <f t="shared" si="161"/>
        <v>1516200.8873943503</v>
      </c>
      <c r="V939">
        <f t="shared" si="162"/>
        <v>1516200.8873943503</v>
      </c>
      <c r="W939">
        <f t="shared" si="163"/>
        <v>1516200.8873943503</v>
      </c>
      <c r="X939">
        <f t="shared" si="164"/>
        <v>1516200.8873943503</v>
      </c>
      <c r="Y939">
        <f t="shared" si="165"/>
        <v>0</v>
      </c>
      <c r="Z939">
        <f t="shared" si="166"/>
        <v>0</v>
      </c>
      <c r="AA939" t="str">
        <f>INDEX('Priority activities'!$D$5:$D$86,MATCH('Database for analysis'!C939,'Priority activities'!$C$5:$C$86,0))</f>
        <v>n/a</v>
      </c>
    </row>
    <row r="940" spans="2:27" ht="16.5" thickTop="1" thickBot="1" x14ac:dyDescent="0.3">
      <c r="B940" t="s">
        <v>727</v>
      </c>
      <c r="C940" s="22" t="str">
        <f>'Costing inputs'!$C$417</f>
        <v>Supervision and quality assurance (SMC3.2)</v>
      </c>
      <c r="D940" s="22" t="str">
        <f>'Costing inputs'!$U$417</f>
        <v>Health facilities (service delivery points)</v>
      </c>
      <c r="E940" s="22" t="str">
        <f>'Regional splits'!$L$14</f>
        <v>Western</v>
      </c>
      <c r="F940">
        <v>1019294.7142146893</v>
      </c>
      <c r="G940">
        <v>1019294.7142146893</v>
      </c>
      <c r="H940">
        <v>1019294.7142146893</v>
      </c>
      <c r="I940">
        <v>1019294.7142146893</v>
      </c>
      <c r="J940">
        <v>1019294.7142146893</v>
      </c>
      <c r="K940">
        <v>1019294.7142146893</v>
      </c>
      <c r="L940">
        <v>1019294.7142146893</v>
      </c>
      <c r="M940">
        <v>1019294.7142146893</v>
      </c>
      <c r="N940">
        <v>0</v>
      </c>
      <c r="O940">
        <v>0</v>
      </c>
      <c r="P940" s="5">
        <f t="shared" si="156"/>
        <v>8154357.7137175137</v>
      </c>
      <c r="Q940">
        <f t="shared" si="157"/>
        <v>1019294.7142146893</v>
      </c>
      <c r="R940">
        <f t="shared" si="158"/>
        <v>1019294.7142146893</v>
      </c>
      <c r="S940">
        <f t="shared" si="159"/>
        <v>1019294.7142146893</v>
      </c>
      <c r="T940">
        <f t="shared" si="160"/>
        <v>1019294.7142146893</v>
      </c>
      <c r="U940">
        <f t="shared" si="161"/>
        <v>1019294.7142146893</v>
      </c>
      <c r="V940">
        <f t="shared" si="162"/>
        <v>1019294.7142146893</v>
      </c>
      <c r="W940">
        <f t="shared" si="163"/>
        <v>1019294.7142146893</v>
      </c>
      <c r="X940">
        <f t="shared" si="164"/>
        <v>1019294.7142146893</v>
      </c>
      <c r="Y940">
        <f t="shared" si="165"/>
        <v>0</v>
      </c>
      <c r="Z940">
        <f t="shared" si="166"/>
        <v>0</v>
      </c>
      <c r="AA940" t="str">
        <f>INDEX('Priority activities'!$D$5:$D$86,MATCH('Database for analysis'!C940,'Priority activities'!$C$5:$C$86,0))</f>
        <v>n/a</v>
      </c>
    </row>
    <row r="941" spans="2:27" ht="16.5" thickTop="1" thickBot="1" x14ac:dyDescent="0.3">
      <c r="B941" t="s">
        <v>727</v>
      </c>
      <c r="C941" s="22" t="str">
        <f>'Costing inputs'!$C$417</f>
        <v>Supervision and quality assurance (SMC3.2)</v>
      </c>
      <c r="D941" s="22" t="str">
        <f>'Costing inputs'!$U$417</f>
        <v>Health facilities (service delivery points)</v>
      </c>
      <c r="E941" s="22">
        <f>'Regional splits'!$M$14</f>
        <v>0</v>
      </c>
      <c r="F941">
        <v>0</v>
      </c>
      <c r="G941">
        <v>0</v>
      </c>
      <c r="H941">
        <v>0</v>
      </c>
      <c r="I941">
        <v>0</v>
      </c>
      <c r="J941">
        <v>0</v>
      </c>
      <c r="K941">
        <v>0</v>
      </c>
      <c r="L941">
        <v>0</v>
      </c>
      <c r="M941">
        <v>0</v>
      </c>
      <c r="N941">
        <v>0</v>
      </c>
      <c r="O941">
        <v>0</v>
      </c>
      <c r="P941" s="5">
        <f t="shared" si="156"/>
        <v>0</v>
      </c>
      <c r="Q941">
        <f t="shared" si="157"/>
        <v>0</v>
      </c>
      <c r="R941">
        <f t="shared" si="158"/>
        <v>0</v>
      </c>
      <c r="S941">
        <f t="shared" si="159"/>
        <v>0</v>
      </c>
      <c r="T941">
        <f t="shared" si="160"/>
        <v>0</v>
      </c>
      <c r="U941">
        <f t="shared" si="161"/>
        <v>0</v>
      </c>
      <c r="V941">
        <f t="shared" si="162"/>
        <v>0</v>
      </c>
      <c r="W941">
        <f t="shared" si="163"/>
        <v>0</v>
      </c>
      <c r="X941">
        <f t="shared" si="164"/>
        <v>0</v>
      </c>
      <c r="Y941">
        <f t="shared" si="165"/>
        <v>0</v>
      </c>
      <c r="Z941">
        <f t="shared" si="166"/>
        <v>0</v>
      </c>
      <c r="AA941" t="str">
        <f>INDEX('Priority activities'!$D$5:$D$86,MATCH('Database for analysis'!C941,'Priority activities'!$C$5:$C$86,0))</f>
        <v>n/a</v>
      </c>
    </row>
    <row r="942" spans="2:27" ht="16.5" thickTop="1" thickBot="1" x14ac:dyDescent="0.3">
      <c r="B942" t="s">
        <v>727</v>
      </c>
      <c r="C942" s="22" t="str">
        <f>'Costing inputs'!$C$417</f>
        <v>Supervision and quality assurance (SMC3.2)</v>
      </c>
      <c r="D942" s="22" t="str">
        <f>'Costing inputs'!$U$417</f>
        <v>Health facilities (service delivery points)</v>
      </c>
      <c r="E942" s="22">
        <f>'Regional splits'!$N$14</f>
        <v>0</v>
      </c>
      <c r="F942">
        <v>0</v>
      </c>
      <c r="G942">
        <v>0</v>
      </c>
      <c r="H942">
        <v>0</v>
      </c>
      <c r="I942">
        <v>0</v>
      </c>
      <c r="J942">
        <v>0</v>
      </c>
      <c r="K942">
        <v>0</v>
      </c>
      <c r="L942">
        <v>0</v>
      </c>
      <c r="M942">
        <v>0</v>
      </c>
      <c r="N942">
        <v>0</v>
      </c>
      <c r="O942">
        <v>0</v>
      </c>
      <c r="P942" s="5">
        <f t="shared" si="156"/>
        <v>0</v>
      </c>
      <c r="Q942">
        <f t="shared" si="157"/>
        <v>0</v>
      </c>
      <c r="R942">
        <f t="shared" si="158"/>
        <v>0</v>
      </c>
      <c r="S942">
        <f t="shared" si="159"/>
        <v>0</v>
      </c>
      <c r="T942">
        <f t="shared" si="160"/>
        <v>0</v>
      </c>
      <c r="U942">
        <f t="shared" si="161"/>
        <v>0</v>
      </c>
      <c r="V942">
        <f t="shared" si="162"/>
        <v>0</v>
      </c>
      <c r="W942">
        <f t="shared" si="163"/>
        <v>0</v>
      </c>
      <c r="X942">
        <f t="shared" si="164"/>
        <v>0</v>
      </c>
      <c r="Y942">
        <f t="shared" si="165"/>
        <v>0</v>
      </c>
      <c r="Z942">
        <f t="shared" si="166"/>
        <v>0</v>
      </c>
      <c r="AA942" t="str">
        <f>INDEX('Priority activities'!$D$5:$D$86,MATCH('Database for analysis'!C942,'Priority activities'!$C$5:$C$86,0))</f>
        <v>n/a</v>
      </c>
    </row>
    <row r="943" spans="2:27" ht="16.5" thickTop="1" thickBot="1" x14ac:dyDescent="0.3">
      <c r="B943" t="s">
        <v>727</v>
      </c>
      <c r="C943" s="22" t="str">
        <f>'Costing inputs'!$C$417</f>
        <v>Supervision and quality assurance (SMC3.2)</v>
      </c>
      <c r="D943" s="22" t="str">
        <f>'Costing inputs'!$U$417</f>
        <v>Health facilities (service delivery points)</v>
      </c>
      <c r="E943" s="22">
        <f>'Regional splits'!$O$14</f>
        <v>0</v>
      </c>
      <c r="F943">
        <v>0</v>
      </c>
      <c r="G943">
        <v>0</v>
      </c>
      <c r="H943">
        <v>0</v>
      </c>
      <c r="I943">
        <v>0</v>
      </c>
      <c r="J943">
        <v>0</v>
      </c>
      <c r="K943">
        <v>0</v>
      </c>
      <c r="L943">
        <v>0</v>
      </c>
      <c r="M943">
        <v>0</v>
      </c>
      <c r="N943">
        <v>0</v>
      </c>
      <c r="O943">
        <v>0</v>
      </c>
      <c r="P943" s="5">
        <f t="shared" si="156"/>
        <v>0</v>
      </c>
      <c r="Q943">
        <f t="shared" si="157"/>
        <v>0</v>
      </c>
      <c r="R943">
        <f t="shared" si="158"/>
        <v>0</v>
      </c>
      <c r="S943">
        <f t="shared" si="159"/>
        <v>0</v>
      </c>
      <c r="T943">
        <f t="shared" si="160"/>
        <v>0</v>
      </c>
      <c r="U943">
        <f t="shared" si="161"/>
        <v>0</v>
      </c>
      <c r="V943">
        <f t="shared" si="162"/>
        <v>0</v>
      </c>
      <c r="W943">
        <f t="shared" si="163"/>
        <v>0</v>
      </c>
      <c r="X943">
        <f t="shared" si="164"/>
        <v>0</v>
      </c>
      <c r="Y943">
        <f t="shared" si="165"/>
        <v>0</v>
      </c>
      <c r="Z943">
        <f t="shared" si="166"/>
        <v>0</v>
      </c>
      <c r="AA943" t="str">
        <f>INDEX('Priority activities'!$D$5:$D$86,MATCH('Database for analysis'!C943,'Priority activities'!$C$5:$C$86,0))</f>
        <v>n/a</v>
      </c>
    </row>
    <row r="944" spans="2:27" ht="16.5" thickTop="1" thickBot="1" x14ac:dyDescent="0.3">
      <c r="B944" t="s">
        <v>727</v>
      </c>
      <c r="C944" s="22" t="str">
        <f>'Costing inputs'!$C$417</f>
        <v>Supervision and quality assurance (SMC3.2)</v>
      </c>
      <c r="D944" s="22" t="str">
        <f>'Costing inputs'!$U$417</f>
        <v>Health facilities (service delivery points)</v>
      </c>
      <c r="E944" s="22">
        <f>'Regional splits'!$P$14</f>
        <v>0</v>
      </c>
      <c r="F944">
        <v>0</v>
      </c>
      <c r="G944">
        <v>0</v>
      </c>
      <c r="H944">
        <v>0</v>
      </c>
      <c r="I944">
        <v>0</v>
      </c>
      <c r="J944">
        <v>0</v>
      </c>
      <c r="K944">
        <v>0</v>
      </c>
      <c r="L944">
        <v>0</v>
      </c>
      <c r="M944">
        <v>0</v>
      </c>
      <c r="N944">
        <v>0</v>
      </c>
      <c r="O944">
        <v>0</v>
      </c>
      <c r="P944" s="5">
        <f t="shared" si="156"/>
        <v>0</v>
      </c>
      <c r="Q944">
        <f t="shared" si="157"/>
        <v>0</v>
      </c>
      <c r="R944">
        <f t="shared" si="158"/>
        <v>0</v>
      </c>
      <c r="S944">
        <f t="shared" si="159"/>
        <v>0</v>
      </c>
      <c r="T944">
        <f t="shared" si="160"/>
        <v>0</v>
      </c>
      <c r="U944">
        <f t="shared" si="161"/>
        <v>0</v>
      </c>
      <c r="V944">
        <f t="shared" si="162"/>
        <v>0</v>
      </c>
      <c r="W944">
        <f t="shared" si="163"/>
        <v>0</v>
      </c>
      <c r="X944">
        <f t="shared" si="164"/>
        <v>0</v>
      </c>
      <c r="Y944">
        <f t="shared" si="165"/>
        <v>0</v>
      </c>
      <c r="Z944">
        <f t="shared" si="166"/>
        <v>0</v>
      </c>
      <c r="AA944" t="str">
        <f>INDEX('Priority activities'!$D$5:$D$86,MATCH('Database for analysis'!C944,'Priority activities'!$C$5:$C$86,0))</f>
        <v>n/a</v>
      </c>
    </row>
    <row r="945" spans="2:27" ht="16.5" thickTop="1" thickBot="1" x14ac:dyDescent="0.3">
      <c r="B945" t="s">
        <v>727</v>
      </c>
      <c r="C945" s="22" t="str">
        <f>'Costing inputs'!$C$417</f>
        <v>Supervision and quality assurance (SMC3.2)</v>
      </c>
      <c r="D945" s="22" t="str">
        <f>'Costing inputs'!$U$417</f>
        <v>Health facilities (service delivery points)</v>
      </c>
      <c r="E945" s="22">
        <f>'Regional splits'!$Q$14</f>
        <v>0</v>
      </c>
      <c r="F945">
        <v>0</v>
      </c>
      <c r="G945">
        <v>0</v>
      </c>
      <c r="H945">
        <v>0</v>
      </c>
      <c r="I945">
        <v>0</v>
      </c>
      <c r="J945">
        <v>0</v>
      </c>
      <c r="K945">
        <v>0</v>
      </c>
      <c r="L945">
        <v>0</v>
      </c>
      <c r="M945">
        <v>0</v>
      </c>
      <c r="N945">
        <v>0</v>
      </c>
      <c r="O945">
        <v>0</v>
      </c>
      <c r="P945" s="5">
        <f t="shared" si="156"/>
        <v>0</v>
      </c>
      <c r="Q945">
        <f t="shared" si="157"/>
        <v>0</v>
      </c>
      <c r="R945">
        <f t="shared" si="158"/>
        <v>0</v>
      </c>
      <c r="S945">
        <f t="shared" si="159"/>
        <v>0</v>
      </c>
      <c r="T945">
        <f t="shared" si="160"/>
        <v>0</v>
      </c>
      <c r="U945">
        <f t="shared" si="161"/>
        <v>0</v>
      </c>
      <c r="V945">
        <f t="shared" si="162"/>
        <v>0</v>
      </c>
      <c r="W945">
        <f t="shared" si="163"/>
        <v>0</v>
      </c>
      <c r="X945">
        <f t="shared" si="164"/>
        <v>0</v>
      </c>
      <c r="Y945">
        <f t="shared" si="165"/>
        <v>0</v>
      </c>
      <c r="Z945">
        <f t="shared" si="166"/>
        <v>0</v>
      </c>
      <c r="AA945" t="str">
        <f>INDEX('Priority activities'!$D$5:$D$86,MATCH('Database for analysis'!C945,'Priority activities'!$C$5:$C$86,0))</f>
        <v>n/a</v>
      </c>
    </row>
    <row r="946" spans="2:27" ht="16.5" thickTop="1" thickBot="1" x14ac:dyDescent="0.3">
      <c r="B946" t="s">
        <v>727</v>
      </c>
      <c r="C946" s="22" t="str">
        <f>'Costing inputs'!$C$417</f>
        <v>Supervision and quality assurance (SMC3.2)</v>
      </c>
      <c r="D946" s="22" t="str">
        <f>'Costing inputs'!$U$417</f>
        <v>Health facilities (service delivery points)</v>
      </c>
      <c r="E946" s="22" t="str">
        <f>'Regional splits'!$R$14</f>
        <v>National-level</v>
      </c>
      <c r="F946">
        <v>0</v>
      </c>
      <c r="G946">
        <v>0</v>
      </c>
      <c r="H946">
        <v>0</v>
      </c>
      <c r="I946">
        <v>0</v>
      </c>
      <c r="J946">
        <v>0</v>
      </c>
      <c r="K946">
        <v>0</v>
      </c>
      <c r="L946">
        <v>0</v>
      </c>
      <c r="M946">
        <v>0</v>
      </c>
      <c r="N946">
        <v>0</v>
      </c>
      <c r="O946">
        <v>0</v>
      </c>
      <c r="P946" s="5">
        <f t="shared" si="156"/>
        <v>0</v>
      </c>
      <c r="Q946">
        <f t="shared" si="157"/>
        <v>0</v>
      </c>
      <c r="R946">
        <f t="shared" si="158"/>
        <v>0</v>
      </c>
      <c r="S946">
        <f t="shared" si="159"/>
        <v>0</v>
      </c>
      <c r="T946">
        <f t="shared" si="160"/>
        <v>0</v>
      </c>
      <c r="U946">
        <f t="shared" si="161"/>
        <v>0</v>
      </c>
      <c r="V946">
        <f t="shared" si="162"/>
        <v>0</v>
      </c>
      <c r="W946">
        <f t="shared" si="163"/>
        <v>0</v>
      </c>
      <c r="X946">
        <f t="shared" si="164"/>
        <v>0</v>
      </c>
      <c r="Y946">
        <f t="shared" si="165"/>
        <v>0</v>
      </c>
      <c r="Z946">
        <f t="shared" si="166"/>
        <v>0</v>
      </c>
      <c r="AA946" t="str">
        <f>INDEX('Priority activities'!$D$5:$D$86,MATCH('Database for analysis'!C946,'Priority activities'!$C$5:$C$86,0))</f>
        <v>n/a</v>
      </c>
    </row>
    <row r="947" spans="2:27" ht="16.5" thickTop="1" thickBot="1" x14ac:dyDescent="0.3">
      <c r="B947" t="s">
        <v>727</v>
      </c>
      <c r="C947" s="22" t="str">
        <f>'Costing inputs'!$C$433</f>
        <v>Supervision/ review meetings (SMC 4.3)</v>
      </c>
      <c r="D947" s="22" t="str">
        <f>'Costing inputs'!$U$433</f>
        <v>Evenly by province/region</v>
      </c>
      <c r="E947" s="22" t="str">
        <f>'Regional splits'!$C$14</f>
        <v>Central</v>
      </c>
      <c r="F947">
        <f t="array" ref="F947:O962">'Costing inputs'!S433*'Costing inputs'!AP433:AY433*TRANSPOSE('Costing inputs'!W433:AL433)</f>
        <v>0</v>
      </c>
      <c r="G947">
        <v>372960.30240000004</v>
      </c>
      <c r="H947">
        <v>0</v>
      </c>
      <c r="I947">
        <v>372960.30240000004</v>
      </c>
      <c r="J947">
        <v>0</v>
      </c>
      <c r="K947">
        <v>372960.30240000004</v>
      </c>
      <c r="L947">
        <v>0</v>
      </c>
      <c r="M947">
        <v>0</v>
      </c>
      <c r="N947">
        <v>0</v>
      </c>
      <c r="O947">
        <v>0</v>
      </c>
      <c r="P947" s="5">
        <f t="shared" si="156"/>
        <v>1118880.9072000002</v>
      </c>
      <c r="Q947">
        <f t="shared" si="157"/>
        <v>0</v>
      </c>
      <c r="R947">
        <f t="shared" si="158"/>
        <v>372960.30240000004</v>
      </c>
      <c r="S947">
        <f t="shared" si="159"/>
        <v>0</v>
      </c>
      <c r="T947">
        <f t="shared" si="160"/>
        <v>372960.30240000004</v>
      </c>
      <c r="U947">
        <f t="shared" si="161"/>
        <v>0</v>
      </c>
      <c r="V947">
        <f t="shared" si="162"/>
        <v>372960.30240000004</v>
      </c>
      <c r="W947">
        <f t="shared" si="163"/>
        <v>0</v>
      </c>
      <c r="X947">
        <f t="shared" si="164"/>
        <v>0</v>
      </c>
      <c r="Y947">
        <f t="shared" si="165"/>
        <v>0</v>
      </c>
      <c r="Z947">
        <f t="shared" si="166"/>
        <v>0</v>
      </c>
      <c r="AA947" t="str">
        <f>INDEX('Priority activities'!$D$5:$D$86,MATCH('Database for analysis'!C947,'Priority activities'!$C$5:$C$86,0))</f>
        <v>FP governance structure and program coordination</v>
      </c>
    </row>
    <row r="948" spans="2:27" ht="16.5" thickTop="1" thickBot="1" x14ac:dyDescent="0.3">
      <c r="B948" t="s">
        <v>727</v>
      </c>
      <c r="C948" s="22" t="str">
        <f>'Costing inputs'!$C$433</f>
        <v>Supervision/ review meetings (SMC 4.3)</v>
      </c>
      <c r="D948" s="22" t="str">
        <f>'Costing inputs'!$U$433</f>
        <v>Evenly by province/region</v>
      </c>
      <c r="E948" s="22" t="str">
        <f>'Regional splits'!$D$14</f>
        <v>Copperbelt</v>
      </c>
      <c r="F948">
        <v>0</v>
      </c>
      <c r="G948">
        <v>372960.30240000004</v>
      </c>
      <c r="H948">
        <v>0</v>
      </c>
      <c r="I948">
        <v>372960.30240000004</v>
      </c>
      <c r="J948">
        <v>0</v>
      </c>
      <c r="K948">
        <v>372960.30240000004</v>
      </c>
      <c r="L948">
        <v>0</v>
      </c>
      <c r="M948">
        <v>0</v>
      </c>
      <c r="N948">
        <v>0</v>
      </c>
      <c r="O948">
        <v>0</v>
      </c>
      <c r="P948" s="5">
        <f t="shared" si="156"/>
        <v>1118880.9072000002</v>
      </c>
      <c r="Q948">
        <f t="shared" si="157"/>
        <v>0</v>
      </c>
      <c r="R948">
        <f t="shared" si="158"/>
        <v>372960.30240000004</v>
      </c>
      <c r="S948">
        <f t="shared" si="159"/>
        <v>0</v>
      </c>
      <c r="T948">
        <f t="shared" si="160"/>
        <v>372960.30240000004</v>
      </c>
      <c r="U948">
        <f t="shared" si="161"/>
        <v>0</v>
      </c>
      <c r="V948">
        <f t="shared" si="162"/>
        <v>372960.30240000004</v>
      </c>
      <c r="W948">
        <f t="shared" si="163"/>
        <v>0</v>
      </c>
      <c r="X948">
        <f t="shared" si="164"/>
        <v>0</v>
      </c>
      <c r="Y948">
        <f t="shared" si="165"/>
        <v>0</v>
      </c>
      <c r="Z948">
        <f t="shared" si="166"/>
        <v>0</v>
      </c>
      <c r="AA948" t="str">
        <f>INDEX('Priority activities'!$D$5:$D$86,MATCH('Database for analysis'!C948,'Priority activities'!$C$5:$C$86,0))</f>
        <v>FP governance structure and program coordination</v>
      </c>
    </row>
    <row r="949" spans="2:27" ht="16.5" thickTop="1" thickBot="1" x14ac:dyDescent="0.3">
      <c r="B949" t="s">
        <v>727</v>
      </c>
      <c r="C949" s="22" t="str">
        <f>'Costing inputs'!$C$433</f>
        <v>Supervision/ review meetings (SMC 4.3)</v>
      </c>
      <c r="D949" s="22" t="str">
        <f>'Costing inputs'!$U$433</f>
        <v>Evenly by province/region</v>
      </c>
      <c r="E949" s="22" t="str">
        <f>'Regional splits'!$E$14</f>
        <v>Eastern</v>
      </c>
      <c r="F949">
        <v>0</v>
      </c>
      <c r="G949">
        <v>372960.30240000004</v>
      </c>
      <c r="H949">
        <v>0</v>
      </c>
      <c r="I949">
        <v>372960.30240000004</v>
      </c>
      <c r="J949">
        <v>0</v>
      </c>
      <c r="K949">
        <v>372960.30240000004</v>
      </c>
      <c r="L949">
        <v>0</v>
      </c>
      <c r="M949">
        <v>0</v>
      </c>
      <c r="N949">
        <v>0</v>
      </c>
      <c r="O949">
        <v>0</v>
      </c>
      <c r="P949" s="5">
        <f t="shared" si="156"/>
        <v>1118880.9072000002</v>
      </c>
      <c r="Q949">
        <f t="shared" si="157"/>
        <v>0</v>
      </c>
      <c r="R949">
        <f t="shared" si="158"/>
        <v>372960.30240000004</v>
      </c>
      <c r="S949">
        <f t="shared" si="159"/>
        <v>0</v>
      </c>
      <c r="T949">
        <f t="shared" si="160"/>
        <v>372960.30240000004</v>
      </c>
      <c r="U949">
        <f t="shared" si="161"/>
        <v>0</v>
      </c>
      <c r="V949">
        <f t="shared" si="162"/>
        <v>372960.30240000004</v>
      </c>
      <c r="W949">
        <f t="shared" si="163"/>
        <v>0</v>
      </c>
      <c r="X949">
        <f t="shared" si="164"/>
        <v>0</v>
      </c>
      <c r="Y949">
        <f t="shared" si="165"/>
        <v>0</v>
      </c>
      <c r="Z949">
        <f t="shared" si="166"/>
        <v>0</v>
      </c>
      <c r="AA949" t="str">
        <f>INDEX('Priority activities'!$D$5:$D$86,MATCH('Database for analysis'!C949,'Priority activities'!$C$5:$C$86,0))</f>
        <v>FP governance structure and program coordination</v>
      </c>
    </row>
    <row r="950" spans="2:27" ht="16.5" thickTop="1" thickBot="1" x14ac:dyDescent="0.3">
      <c r="B950" t="s">
        <v>727</v>
      </c>
      <c r="C950" s="22" t="str">
        <f>'Costing inputs'!$C$433</f>
        <v>Supervision/ review meetings (SMC 4.3)</v>
      </c>
      <c r="D950" s="22" t="str">
        <f>'Costing inputs'!$U$433</f>
        <v>Evenly by province/region</v>
      </c>
      <c r="E950" s="22" t="str">
        <f>'Regional splits'!$F$14</f>
        <v>Luapula</v>
      </c>
      <c r="F950">
        <v>0</v>
      </c>
      <c r="G950">
        <v>372960.30240000004</v>
      </c>
      <c r="H950">
        <v>0</v>
      </c>
      <c r="I950">
        <v>372960.30240000004</v>
      </c>
      <c r="J950">
        <v>0</v>
      </c>
      <c r="K950">
        <v>372960.30240000004</v>
      </c>
      <c r="L950">
        <v>0</v>
      </c>
      <c r="M950">
        <v>0</v>
      </c>
      <c r="N950">
        <v>0</v>
      </c>
      <c r="O950">
        <v>0</v>
      </c>
      <c r="P950" s="5">
        <f t="shared" si="156"/>
        <v>1118880.9072000002</v>
      </c>
      <c r="Q950">
        <f t="shared" si="157"/>
        <v>0</v>
      </c>
      <c r="R950">
        <f t="shared" si="158"/>
        <v>372960.30240000004</v>
      </c>
      <c r="S950">
        <f t="shared" si="159"/>
        <v>0</v>
      </c>
      <c r="T950">
        <f t="shared" si="160"/>
        <v>372960.30240000004</v>
      </c>
      <c r="U950">
        <f t="shared" si="161"/>
        <v>0</v>
      </c>
      <c r="V950">
        <f t="shared" si="162"/>
        <v>372960.30240000004</v>
      </c>
      <c r="W950">
        <f t="shared" si="163"/>
        <v>0</v>
      </c>
      <c r="X950">
        <f t="shared" si="164"/>
        <v>0</v>
      </c>
      <c r="Y950">
        <f t="shared" si="165"/>
        <v>0</v>
      </c>
      <c r="Z950">
        <f t="shared" si="166"/>
        <v>0</v>
      </c>
      <c r="AA950" t="str">
        <f>INDEX('Priority activities'!$D$5:$D$86,MATCH('Database for analysis'!C950,'Priority activities'!$C$5:$C$86,0))</f>
        <v>FP governance structure and program coordination</v>
      </c>
    </row>
    <row r="951" spans="2:27" ht="16.5" thickTop="1" thickBot="1" x14ac:dyDescent="0.3">
      <c r="B951" t="s">
        <v>727</v>
      </c>
      <c r="C951" s="22" t="str">
        <f>'Costing inputs'!$C$433</f>
        <v>Supervision/ review meetings (SMC 4.3)</v>
      </c>
      <c r="D951" s="22" t="str">
        <f>'Costing inputs'!$U$433</f>
        <v>Evenly by province/region</v>
      </c>
      <c r="E951" s="22" t="str">
        <f>'Regional splits'!$G$14</f>
        <v>Lusaka</v>
      </c>
      <c r="F951">
        <v>0</v>
      </c>
      <c r="G951">
        <v>372960.30240000004</v>
      </c>
      <c r="H951">
        <v>0</v>
      </c>
      <c r="I951">
        <v>372960.30240000004</v>
      </c>
      <c r="J951">
        <v>0</v>
      </c>
      <c r="K951">
        <v>372960.30240000004</v>
      </c>
      <c r="L951">
        <v>0</v>
      </c>
      <c r="M951">
        <v>0</v>
      </c>
      <c r="N951">
        <v>0</v>
      </c>
      <c r="O951">
        <v>0</v>
      </c>
      <c r="P951" s="5">
        <f t="shared" si="156"/>
        <v>1118880.9072000002</v>
      </c>
      <c r="Q951">
        <f t="shared" si="157"/>
        <v>0</v>
      </c>
      <c r="R951">
        <f t="shared" si="158"/>
        <v>372960.30240000004</v>
      </c>
      <c r="S951">
        <f t="shared" si="159"/>
        <v>0</v>
      </c>
      <c r="T951">
        <f t="shared" si="160"/>
        <v>372960.30240000004</v>
      </c>
      <c r="U951">
        <f t="shared" si="161"/>
        <v>0</v>
      </c>
      <c r="V951">
        <f t="shared" si="162"/>
        <v>372960.30240000004</v>
      </c>
      <c r="W951">
        <f t="shared" si="163"/>
        <v>0</v>
      </c>
      <c r="X951">
        <f t="shared" si="164"/>
        <v>0</v>
      </c>
      <c r="Y951">
        <f t="shared" si="165"/>
        <v>0</v>
      </c>
      <c r="Z951">
        <f t="shared" si="166"/>
        <v>0</v>
      </c>
      <c r="AA951" t="str">
        <f>INDEX('Priority activities'!$D$5:$D$86,MATCH('Database for analysis'!C951,'Priority activities'!$C$5:$C$86,0))</f>
        <v>FP governance structure and program coordination</v>
      </c>
    </row>
    <row r="952" spans="2:27" ht="16.5" thickTop="1" thickBot="1" x14ac:dyDescent="0.3">
      <c r="B952" t="s">
        <v>727</v>
      </c>
      <c r="C952" s="22" t="str">
        <f>'Costing inputs'!$C$433</f>
        <v>Supervision/ review meetings (SMC 4.3)</v>
      </c>
      <c r="D952" s="22" t="str">
        <f>'Costing inputs'!$U$433</f>
        <v>Evenly by province/region</v>
      </c>
      <c r="E952" s="22" t="str">
        <f>'Regional splits'!$H$14</f>
        <v>Muchinga</v>
      </c>
      <c r="F952">
        <v>0</v>
      </c>
      <c r="G952">
        <v>372960.30240000004</v>
      </c>
      <c r="H952">
        <v>0</v>
      </c>
      <c r="I952">
        <v>372960.30240000004</v>
      </c>
      <c r="J952">
        <v>0</v>
      </c>
      <c r="K952">
        <v>372960.30240000004</v>
      </c>
      <c r="L952">
        <v>0</v>
      </c>
      <c r="M952">
        <v>0</v>
      </c>
      <c r="N952">
        <v>0</v>
      </c>
      <c r="O952">
        <v>0</v>
      </c>
      <c r="P952" s="5">
        <f t="shared" si="156"/>
        <v>1118880.9072000002</v>
      </c>
      <c r="Q952">
        <f t="shared" si="157"/>
        <v>0</v>
      </c>
      <c r="R952">
        <f t="shared" si="158"/>
        <v>372960.30240000004</v>
      </c>
      <c r="S952">
        <f t="shared" si="159"/>
        <v>0</v>
      </c>
      <c r="T952">
        <f t="shared" si="160"/>
        <v>372960.30240000004</v>
      </c>
      <c r="U952">
        <f t="shared" si="161"/>
        <v>0</v>
      </c>
      <c r="V952">
        <f t="shared" si="162"/>
        <v>372960.30240000004</v>
      </c>
      <c r="W952">
        <f t="shared" si="163"/>
        <v>0</v>
      </c>
      <c r="X952">
        <f t="shared" si="164"/>
        <v>0</v>
      </c>
      <c r="Y952">
        <f t="shared" si="165"/>
        <v>0</v>
      </c>
      <c r="Z952">
        <f t="shared" si="166"/>
        <v>0</v>
      </c>
      <c r="AA952" t="str">
        <f>INDEX('Priority activities'!$D$5:$D$86,MATCH('Database for analysis'!C952,'Priority activities'!$C$5:$C$86,0))</f>
        <v>FP governance structure and program coordination</v>
      </c>
    </row>
    <row r="953" spans="2:27" ht="16.5" thickTop="1" thickBot="1" x14ac:dyDescent="0.3">
      <c r="B953" t="s">
        <v>727</v>
      </c>
      <c r="C953" s="22" t="str">
        <f>'Costing inputs'!$C$433</f>
        <v>Supervision/ review meetings (SMC 4.3)</v>
      </c>
      <c r="D953" s="22" t="str">
        <f>'Costing inputs'!$U$433</f>
        <v>Evenly by province/region</v>
      </c>
      <c r="E953" s="22" t="str">
        <f>'Regional splits'!$I$14</f>
        <v>Northern</v>
      </c>
      <c r="F953">
        <v>0</v>
      </c>
      <c r="G953">
        <v>372960.30240000004</v>
      </c>
      <c r="H953">
        <v>0</v>
      </c>
      <c r="I953">
        <v>372960.30240000004</v>
      </c>
      <c r="J953">
        <v>0</v>
      </c>
      <c r="K953">
        <v>372960.30240000004</v>
      </c>
      <c r="L953">
        <v>0</v>
      </c>
      <c r="M953">
        <v>0</v>
      </c>
      <c r="N953">
        <v>0</v>
      </c>
      <c r="O953">
        <v>0</v>
      </c>
      <c r="P953" s="5">
        <f t="shared" si="156"/>
        <v>1118880.9072000002</v>
      </c>
      <c r="Q953">
        <f t="shared" si="157"/>
        <v>0</v>
      </c>
      <c r="R953">
        <f t="shared" si="158"/>
        <v>372960.30240000004</v>
      </c>
      <c r="S953">
        <f t="shared" si="159"/>
        <v>0</v>
      </c>
      <c r="T953">
        <f t="shared" si="160"/>
        <v>372960.30240000004</v>
      </c>
      <c r="U953">
        <f t="shared" si="161"/>
        <v>0</v>
      </c>
      <c r="V953">
        <f t="shared" si="162"/>
        <v>372960.30240000004</v>
      </c>
      <c r="W953">
        <f t="shared" si="163"/>
        <v>0</v>
      </c>
      <c r="X953">
        <f t="shared" si="164"/>
        <v>0</v>
      </c>
      <c r="Y953">
        <f t="shared" si="165"/>
        <v>0</v>
      </c>
      <c r="Z953">
        <f t="shared" si="166"/>
        <v>0</v>
      </c>
      <c r="AA953" t="str">
        <f>INDEX('Priority activities'!$D$5:$D$86,MATCH('Database for analysis'!C953,'Priority activities'!$C$5:$C$86,0))</f>
        <v>FP governance structure and program coordination</v>
      </c>
    </row>
    <row r="954" spans="2:27" ht="16.5" thickTop="1" thickBot="1" x14ac:dyDescent="0.3">
      <c r="B954" t="s">
        <v>727</v>
      </c>
      <c r="C954" s="22" t="str">
        <f>'Costing inputs'!$C$433</f>
        <v>Supervision/ review meetings (SMC 4.3)</v>
      </c>
      <c r="D954" s="22" t="str">
        <f>'Costing inputs'!$U$433</f>
        <v>Evenly by province/region</v>
      </c>
      <c r="E954" s="22" t="str">
        <f>'Regional splits'!$J$14</f>
        <v>North Western</v>
      </c>
      <c r="F954">
        <v>0</v>
      </c>
      <c r="G954">
        <v>372960.30240000004</v>
      </c>
      <c r="H954">
        <v>0</v>
      </c>
      <c r="I954">
        <v>372960.30240000004</v>
      </c>
      <c r="J954">
        <v>0</v>
      </c>
      <c r="K954">
        <v>372960.30240000004</v>
      </c>
      <c r="L954">
        <v>0</v>
      </c>
      <c r="M954">
        <v>0</v>
      </c>
      <c r="N954">
        <v>0</v>
      </c>
      <c r="O954">
        <v>0</v>
      </c>
      <c r="P954" s="5">
        <f t="shared" si="156"/>
        <v>1118880.9072000002</v>
      </c>
      <c r="Q954">
        <f t="shared" si="157"/>
        <v>0</v>
      </c>
      <c r="R954">
        <f t="shared" si="158"/>
        <v>372960.30240000004</v>
      </c>
      <c r="S954">
        <f t="shared" si="159"/>
        <v>0</v>
      </c>
      <c r="T954">
        <f t="shared" si="160"/>
        <v>372960.30240000004</v>
      </c>
      <c r="U954">
        <f t="shared" si="161"/>
        <v>0</v>
      </c>
      <c r="V954">
        <f t="shared" si="162"/>
        <v>372960.30240000004</v>
      </c>
      <c r="W954">
        <f t="shared" si="163"/>
        <v>0</v>
      </c>
      <c r="X954">
        <f t="shared" si="164"/>
        <v>0</v>
      </c>
      <c r="Y954">
        <f t="shared" si="165"/>
        <v>0</v>
      </c>
      <c r="Z954">
        <f t="shared" si="166"/>
        <v>0</v>
      </c>
      <c r="AA954" t="str">
        <f>INDEX('Priority activities'!$D$5:$D$86,MATCH('Database for analysis'!C954,'Priority activities'!$C$5:$C$86,0))</f>
        <v>FP governance structure and program coordination</v>
      </c>
    </row>
    <row r="955" spans="2:27" ht="16.5" thickTop="1" thickBot="1" x14ac:dyDescent="0.3">
      <c r="B955" t="s">
        <v>727</v>
      </c>
      <c r="C955" s="22" t="str">
        <f>'Costing inputs'!$C$433</f>
        <v>Supervision/ review meetings (SMC 4.3)</v>
      </c>
      <c r="D955" s="22" t="str">
        <f>'Costing inputs'!$U$433</f>
        <v>Evenly by province/region</v>
      </c>
      <c r="E955" s="22" t="str">
        <f>'Regional splits'!$K$14</f>
        <v>Southern</v>
      </c>
      <c r="F955">
        <v>0</v>
      </c>
      <c r="G955">
        <v>372960.30240000004</v>
      </c>
      <c r="H955">
        <v>0</v>
      </c>
      <c r="I955">
        <v>372960.30240000004</v>
      </c>
      <c r="J955">
        <v>0</v>
      </c>
      <c r="K955">
        <v>372960.30240000004</v>
      </c>
      <c r="L955">
        <v>0</v>
      </c>
      <c r="M955">
        <v>0</v>
      </c>
      <c r="N955">
        <v>0</v>
      </c>
      <c r="O955">
        <v>0</v>
      </c>
      <c r="P955" s="5">
        <f t="shared" si="156"/>
        <v>1118880.9072000002</v>
      </c>
      <c r="Q955">
        <f t="shared" si="157"/>
        <v>0</v>
      </c>
      <c r="R955">
        <f t="shared" si="158"/>
        <v>372960.30240000004</v>
      </c>
      <c r="S955">
        <f t="shared" si="159"/>
        <v>0</v>
      </c>
      <c r="T955">
        <f t="shared" si="160"/>
        <v>372960.30240000004</v>
      </c>
      <c r="U955">
        <f t="shared" si="161"/>
        <v>0</v>
      </c>
      <c r="V955">
        <f t="shared" si="162"/>
        <v>372960.30240000004</v>
      </c>
      <c r="W955">
        <f t="shared" si="163"/>
        <v>0</v>
      </c>
      <c r="X955">
        <f t="shared" si="164"/>
        <v>0</v>
      </c>
      <c r="Y955">
        <f t="shared" si="165"/>
        <v>0</v>
      </c>
      <c r="Z955">
        <f t="shared" si="166"/>
        <v>0</v>
      </c>
      <c r="AA955" t="str">
        <f>INDEX('Priority activities'!$D$5:$D$86,MATCH('Database for analysis'!C955,'Priority activities'!$C$5:$C$86,0))</f>
        <v>FP governance structure and program coordination</v>
      </c>
    </row>
    <row r="956" spans="2:27" ht="16.5" thickTop="1" thickBot="1" x14ac:dyDescent="0.3">
      <c r="B956" t="s">
        <v>727</v>
      </c>
      <c r="C956" s="22" t="str">
        <f>'Costing inputs'!$C$433</f>
        <v>Supervision/ review meetings (SMC 4.3)</v>
      </c>
      <c r="D956" s="22" t="str">
        <f>'Costing inputs'!$U$433</f>
        <v>Evenly by province/region</v>
      </c>
      <c r="E956" s="22" t="str">
        <f>'Regional splits'!$L$14</f>
        <v>Western</v>
      </c>
      <c r="F956">
        <v>0</v>
      </c>
      <c r="G956">
        <v>372960.30240000004</v>
      </c>
      <c r="H956">
        <v>0</v>
      </c>
      <c r="I956">
        <v>372960.30240000004</v>
      </c>
      <c r="J956">
        <v>0</v>
      </c>
      <c r="K956">
        <v>372960.30240000004</v>
      </c>
      <c r="L956">
        <v>0</v>
      </c>
      <c r="M956">
        <v>0</v>
      </c>
      <c r="N956">
        <v>0</v>
      </c>
      <c r="O956">
        <v>0</v>
      </c>
      <c r="P956" s="5">
        <f t="shared" si="156"/>
        <v>1118880.9072000002</v>
      </c>
      <c r="Q956">
        <f t="shared" si="157"/>
        <v>0</v>
      </c>
      <c r="R956">
        <f t="shared" si="158"/>
        <v>372960.30240000004</v>
      </c>
      <c r="S956">
        <f t="shared" si="159"/>
        <v>0</v>
      </c>
      <c r="T956">
        <f t="shared" si="160"/>
        <v>372960.30240000004</v>
      </c>
      <c r="U956">
        <f t="shared" si="161"/>
        <v>0</v>
      </c>
      <c r="V956">
        <f t="shared" si="162"/>
        <v>372960.30240000004</v>
      </c>
      <c r="W956">
        <f t="shared" si="163"/>
        <v>0</v>
      </c>
      <c r="X956">
        <f t="shared" si="164"/>
        <v>0</v>
      </c>
      <c r="Y956">
        <f t="shared" si="165"/>
        <v>0</v>
      </c>
      <c r="Z956">
        <f t="shared" si="166"/>
        <v>0</v>
      </c>
      <c r="AA956" t="str">
        <f>INDEX('Priority activities'!$D$5:$D$86,MATCH('Database for analysis'!C956,'Priority activities'!$C$5:$C$86,0))</f>
        <v>FP governance structure and program coordination</v>
      </c>
    </row>
    <row r="957" spans="2:27" ht="16.5" thickTop="1" thickBot="1" x14ac:dyDescent="0.3">
      <c r="B957" t="s">
        <v>727</v>
      </c>
      <c r="C957" s="22" t="str">
        <f>'Costing inputs'!$C$433</f>
        <v>Supervision/ review meetings (SMC 4.3)</v>
      </c>
      <c r="D957" s="22" t="str">
        <f>'Costing inputs'!$U$433</f>
        <v>Evenly by province/region</v>
      </c>
      <c r="E957" s="22">
        <f>'Regional splits'!$M$14</f>
        <v>0</v>
      </c>
      <c r="F957">
        <v>0</v>
      </c>
      <c r="G957">
        <v>0</v>
      </c>
      <c r="H957">
        <v>0</v>
      </c>
      <c r="I957">
        <v>0</v>
      </c>
      <c r="J957">
        <v>0</v>
      </c>
      <c r="K957">
        <v>0</v>
      </c>
      <c r="L957">
        <v>0</v>
      </c>
      <c r="M957">
        <v>0</v>
      </c>
      <c r="N957">
        <v>0</v>
      </c>
      <c r="O957">
        <v>0</v>
      </c>
      <c r="P957" s="5">
        <f t="shared" si="156"/>
        <v>0</v>
      </c>
      <c r="Q957">
        <f t="shared" si="157"/>
        <v>0</v>
      </c>
      <c r="R957">
        <f t="shared" si="158"/>
        <v>0</v>
      </c>
      <c r="S957">
        <f t="shared" si="159"/>
        <v>0</v>
      </c>
      <c r="T957">
        <f t="shared" si="160"/>
        <v>0</v>
      </c>
      <c r="U957">
        <f t="shared" si="161"/>
        <v>0</v>
      </c>
      <c r="V957">
        <f t="shared" si="162"/>
        <v>0</v>
      </c>
      <c r="W957">
        <f t="shared" si="163"/>
        <v>0</v>
      </c>
      <c r="X957">
        <f t="shared" si="164"/>
        <v>0</v>
      </c>
      <c r="Y957">
        <f t="shared" si="165"/>
        <v>0</v>
      </c>
      <c r="Z957">
        <f t="shared" si="166"/>
        <v>0</v>
      </c>
      <c r="AA957" t="str">
        <f>INDEX('Priority activities'!$D$5:$D$86,MATCH('Database for analysis'!C957,'Priority activities'!$C$5:$C$86,0))</f>
        <v>FP governance structure and program coordination</v>
      </c>
    </row>
    <row r="958" spans="2:27" ht="16.5" thickTop="1" thickBot="1" x14ac:dyDescent="0.3">
      <c r="B958" t="s">
        <v>727</v>
      </c>
      <c r="C958" s="22" t="str">
        <f>'Costing inputs'!$C$433</f>
        <v>Supervision/ review meetings (SMC 4.3)</v>
      </c>
      <c r="D958" s="22" t="str">
        <f>'Costing inputs'!$U$433</f>
        <v>Evenly by province/region</v>
      </c>
      <c r="E958" s="22">
        <f>'Regional splits'!$N$14</f>
        <v>0</v>
      </c>
      <c r="F958">
        <v>0</v>
      </c>
      <c r="G958">
        <v>0</v>
      </c>
      <c r="H958">
        <v>0</v>
      </c>
      <c r="I958">
        <v>0</v>
      </c>
      <c r="J958">
        <v>0</v>
      </c>
      <c r="K958">
        <v>0</v>
      </c>
      <c r="L958">
        <v>0</v>
      </c>
      <c r="M958">
        <v>0</v>
      </c>
      <c r="N958">
        <v>0</v>
      </c>
      <c r="O958">
        <v>0</v>
      </c>
      <c r="P958" s="5">
        <f t="shared" si="156"/>
        <v>0</v>
      </c>
      <c r="Q958">
        <f t="shared" si="157"/>
        <v>0</v>
      </c>
      <c r="R958">
        <f t="shared" si="158"/>
        <v>0</v>
      </c>
      <c r="S958">
        <f t="shared" si="159"/>
        <v>0</v>
      </c>
      <c r="T958">
        <f t="shared" si="160"/>
        <v>0</v>
      </c>
      <c r="U958">
        <f t="shared" si="161"/>
        <v>0</v>
      </c>
      <c r="V958">
        <f t="shared" si="162"/>
        <v>0</v>
      </c>
      <c r="W958">
        <f t="shared" si="163"/>
        <v>0</v>
      </c>
      <c r="X958">
        <f t="shared" si="164"/>
        <v>0</v>
      </c>
      <c r="Y958">
        <f t="shared" si="165"/>
        <v>0</v>
      </c>
      <c r="Z958">
        <f t="shared" si="166"/>
        <v>0</v>
      </c>
      <c r="AA958" t="str">
        <f>INDEX('Priority activities'!$D$5:$D$86,MATCH('Database for analysis'!C958,'Priority activities'!$C$5:$C$86,0))</f>
        <v>FP governance structure and program coordination</v>
      </c>
    </row>
    <row r="959" spans="2:27" ht="16.5" thickTop="1" thickBot="1" x14ac:dyDescent="0.3">
      <c r="B959" t="s">
        <v>727</v>
      </c>
      <c r="C959" s="22" t="str">
        <f>'Costing inputs'!$C$433</f>
        <v>Supervision/ review meetings (SMC 4.3)</v>
      </c>
      <c r="D959" s="22" t="str">
        <f>'Costing inputs'!$U$433</f>
        <v>Evenly by province/region</v>
      </c>
      <c r="E959" s="22">
        <f>'Regional splits'!$O$14</f>
        <v>0</v>
      </c>
      <c r="F959">
        <v>0</v>
      </c>
      <c r="G959">
        <v>0</v>
      </c>
      <c r="H959">
        <v>0</v>
      </c>
      <c r="I959">
        <v>0</v>
      </c>
      <c r="J959">
        <v>0</v>
      </c>
      <c r="K959">
        <v>0</v>
      </c>
      <c r="L959">
        <v>0</v>
      </c>
      <c r="M959">
        <v>0</v>
      </c>
      <c r="N959">
        <v>0</v>
      </c>
      <c r="O959">
        <v>0</v>
      </c>
      <c r="P959" s="5">
        <f t="shared" si="156"/>
        <v>0</v>
      </c>
      <c r="Q959">
        <f t="shared" si="157"/>
        <v>0</v>
      </c>
      <c r="R959">
        <f t="shared" si="158"/>
        <v>0</v>
      </c>
      <c r="S959">
        <f t="shared" si="159"/>
        <v>0</v>
      </c>
      <c r="T959">
        <f t="shared" si="160"/>
        <v>0</v>
      </c>
      <c r="U959">
        <f t="shared" si="161"/>
        <v>0</v>
      </c>
      <c r="V959">
        <f t="shared" si="162"/>
        <v>0</v>
      </c>
      <c r="W959">
        <f t="shared" si="163"/>
        <v>0</v>
      </c>
      <c r="X959">
        <f t="shared" si="164"/>
        <v>0</v>
      </c>
      <c r="Y959">
        <f t="shared" si="165"/>
        <v>0</v>
      </c>
      <c r="Z959">
        <f t="shared" si="166"/>
        <v>0</v>
      </c>
      <c r="AA959" t="str">
        <f>INDEX('Priority activities'!$D$5:$D$86,MATCH('Database for analysis'!C959,'Priority activities'!$C$5:$C$86,0))</f>
        <v>FP governance structure and program coordination</v>
      </c>
    </row>
    <row r="960" spans="2:27" ht="16.5" thickTop="1" thickBot="1" x14ac:dyDescent="0.3">
      <c r="B960" t="s">
        <v>727</v>
      </c>
      <c r="C960" s="22" t="str">
        <f>'Costing inputs'!$C$433</f>
        <v>Supervision/ review meetings (SMC 4.3)</v>
      </c>
      <c r="D960" s="22" t="str">
        <f>'Costing inputs'!$U$433</f>
        <v>Evenly by province/region</v>
      </c>
      <c r="E960" s="22">
        <f>'Regional splits'!$P$14</f>
        <v>0</v>
      </c>
      <c r="F960">
        <v>0</v>
      </c>
      <c r="G960">
        <v>0</v>
      </c>
      <c r="H960">
        <v>0</v>
      </c>
      <c r="I960">
        <v>0</v>
      </c>
      <c r="J960">
        <v>0</v>
      </c>
      <c r="K960">
        <v>0</v>
      </c>
      <c r="L960">
        <v>0</v>
      </c>
      <c r="M960">
        <v>0</v>
      </c>
      <c r="N960">
        <v>0</v>
      </c>
      <c r="O960">
        <v>0</v>
      </c>
      <c r="P960" s="5">
        <f t="shared" si="156"/>
        <v>0</v>
      </c>
      <c r="Q960">
        <f t="shared" si="157"/>
        <v>0</v>
      </c>
      <c r="R960">
        <f t="shared" si="158"/>
        <v>0</v>
      </c>
      <c r="S960">
        <f t="shared" si="159"/>
        <v>0</v>
      </c>
      <c r="T960">
        <f t="shared" si="160"/>
        <v>0</v>
      </c>
      <c r="U960">
        <f t="shared" si="161"/>
        <v>0</v>
      </c>
      <c r="V960">
        <f t="shared" si="162"/>
        <v>0</v>
      </c>
      <c r="W960">
        <f t="shared" si="163"/>
        <v>0</v>
      </c>
      <c r="X960">
        <f t="shared" si="164"/>
        <v>0</v>
      </c>
      <c r="Y960">
        <f t="shared" si="165"/>
        <v>0</v>
      </c>
      <c r="Z960">
        <f t="shared" si="166"/>
        <v>0</v>
      </c>
      <c r="AA960" t="str">
        <f>INDEX('Priority activities'!$D$5:$D$86,MATCH('Database for analysis'!C960,'Priority activities'!$C$5:$C$86,0))</f>
        <v>FP governance structure and program coordination</v>
      </c>
    </row>
    <row r="961" spans="2:27" ht="16.5" thickTop="1" thickBot="1" x14ac:dyDescent="0.3">
      <c r="B961" t="s">
        <v>727</v>
      </c>
      <c r="C961" s="22" t="str">
        <f>'Costing inputs'!$C$433</f>
        <v>Supervision/ review meetings (SMC 4.3)</v>
      </c>
      <c r="D961" s="22" t="str">
        <f>'Costing inputs'!$U$433</f>
        <v>Evenly by province/region</v>
      </c>
      <c r="E961" s="22">
        <f>'Regional splits'!$Q$14</f>
        <v>0</v>
      </c>
      <c r="F961">
        <v>0</v>
      </c>
      <c r="G961">
        <v>0</v>
      </c>
      <c r="H961">
        <v>0</v>
      </c>
      <c r="I961">
        <v>0</v>
      </c>
      <c r="J961">
        <v>0</v>
      </c>
      <c r="K961">
        <v>0</v>
      </c>
      <c r="L961">
        <v>0</v>
      </c>
      <c r="M961">
        <v>0</v>
      </c>
      <c r="N961">
        <v>0</v>
      </c>
      <c r="O961">
        <v>0</v>
      </c>
      <c r="P961" s="5">
        <f t="shared" si="156"/>
        <v>0</v>
      </c>
      <c r="Q961">
        <f t="shared" si="157"/>
        <v>0</v>
      </c>
      <c r="R961">
        <f t="shared" si="158"/>
        <v>0</v>
      </c>
      <c r="S961">
        <f t="shared" si="159"/>
        <v>0</v>
      </c>
      <c r="T961">
        <f t="shared" si="160"/>
        <v>0</v>
      </c>
      <c r="U961">
        <f t="shared" si="161"/>
        <v>0</v>
      </c>
      <c r="V961">
        <f t="shared" si="162"/>
        <v>0</v>
      </c>
      <c r="W961">
        <f t="shared" si="163"/>
        <v>0</v>
      </c>
      <c r="X961">
        <f t="shared" si="164"/>
        <v>0</v>
      </c>
      <c r="Y961">
        <f t="shared" si="165"/>
        <v>0</v>
      </c>
      <c r="Z961">
        <f t="shared" si="166"/>
        <v>0</v>
      </c>
      <c r="AA961" t="str">
        <f>INDEX('Priority activities'!$D$5:$D$86,MATCH('Database for analysis'!C961,'Priority activities'!$C$5:$C$86,0))</f>
        <v>FP governance structure and program coordination</v>
      </c>
    </row>
    <row r="962" spans="2:27" ht="16.5" thickTop="1" thickBot="1" x14ac:dyDescent="0.3">
      <c r="B962" t="s">
        <v>727</v>
      </c>
      <c r="C962" s="22" t="str">
        <f>'Costing inputs'!$C$433</f>
        <v>Supervision/ review meetings (SMC 4.3)</v>
      </c>
      <c r="D962" s="22" t="str">
        <f>'Costing inputs'!$U$433</f>
        <v>Evenly by province/region</v>
      </c>
      <c r="E962" s="22" t="str">
        <f>'Regional splits'!$R$14</f>
        <v>National-level</v>
      </c>
      <c r="F962">
        <v>0</v>
      </c>
      <c r="G962">
        <v>0</v>
      </c>
      <c r="H962">
        <v>0</v>
      </c>
      <c r="I962">
        <v>0</v>
      </c>
      <c r="J962">
        <v>0</v>
      </c>
      <c r="K962">
        <v>0</v>
      </c>
      <c r="L962">
        <v>0</v>
      </c>
      <c r="M962">
        <v>0</v>
      </c>
      <c r="N962">
        <v>0</v>
      </c>
      <c r="O962">
        <v>0</v>
      </c>
      <c r="P962" s="5">
        <f t="shared" si="156"/>
        <v>0</v>
      </c>
      <c r="Q962">
        <f t="shared" si="157"/>
        <v>0</v>
      </c>
      <c r="R962">
        <f t="shared" si="158"/>
        <v>0</v>
      </c>
      <c r="S962">
        <f t="shared" si="159"/>
        <v>0</v>
      </c>
      <c r="T962">
        <f t="shared" si="160"/>
        <v>0</v>
      </c>
      <c r="U962">
        <f t="shared" si="161"/>
        <v>0</v>
      </c>
      <c r="V962">
        <f t="shared" si="162"/>
        <v>0</v>
      </c>
      <c r="W962">
        <f t="shared" si="163"/>
        <v>0</v>
      </c>
      <c r="X962">
        <f t="shared" si="164"/>
        <v>0</v>
      </c>
      <c r="Y962">
        <f t="shared" si="165"/>
        <v>0</v>
      </c>
      <c r="Z962">
        <f t="shared" si="166"/>
        <v>0</v>
      </c>
      <c r="AA962" t="str">
        <f>INDEX('Priority activities'!$D$5:$D$86,MATCH('Database for analysis'!C962,'Priority activities'!$C$5:$C$86,0))</f>
        <v>FP governance structure and program coordination</v>
      </c>
    </row>
    <row r="963" spans="2:27" ht="16.5" thickTop="1" thickBot="1" x14ac:dyDescent="0.3">
      <c r="B963" t="s">
        <v>727</v>
      </c>
      <c r="C963" s="22" t="str">
        <f>'Costing inputs'!$C$443</f>
        <v>Surveys/ investigations (n/a)</v>
      </c>
      <c r="D963" s="22">
        <f>'Costing inputs'!$U$443</f>
        <v>0</v>
      </c>
      <c r="E963" s="22" t="str">
        <f>'Regional splits'!$C$14</f>
        <v>Central</v>
      </c>
      <c r="F963" t="e">
        <f t="array" ref="F963:O978">'Costing inputs'!S444*'Costing inputs'!AP444:AY444*TRANSPOSE('Costing inputs'!W444:AL444)</f>
        <v>#N/A</v>
      </c>
      <c r="G963" t="e">
        <v>#N/A</v>
      </c>
      <c r="H963" t="e">
        <v>#N/A</v>
      </c>
      <c r="I963" t="e">
        <v>#N/A</v>
      </c>
      <c r="J963" t="e">
        <v>#N/A</v>
      </c>
      <c r="K963" t="e">
        <v>#N/A</v>
      </c>
      <c r="L963" t="e">
        <v>#N/A</v>
      </c>
      <c r="M963" t="e">
        <v>#N/A</v>
      </c>
      <c r="N963" t="e">
        <v>#N/A</v>
      </c>
      <c r="O963" t="e">
        <v>#N/A</v>
      </c>
      <c r="P963" s="5">
        <f t="shared" si="156"/>
        <v>0</v>
      </c>
      <c r="Q963">
        <f t="shared" si="157"/>
        <v>0</v>
      </c>
      <c r="R963">
        <f t="shared" si="158"/>
        <v>0</v>
      </c>
      <c r="S963">
        <f t="shared" si="159"/>
        <v>0</v>
      </c>
      <c r="T963">
        <f t="shared" si="160"/>
        <v>0</v>
      </c>
      <c r="U963">
        <f t="shared" si="161"/>
        <v>0</v>
      </c>
      <c r="V963">
        <f t="shared" si="162"/>
        <v>0</v>
      </c>
      <c r="W963">
        <f t="shared" si="163"/>
        <v>0</v>
      </c>
      <c r="X963">
        <f t="shared" si="164"/>
        <v>0</v>
      </c>
      <c r="Y963">
        <f t="shared" si="165"/>
        <v>0</v>
      </c>
      <c r="Z963">
        <f t="shared" si="166"/>
        <v>0</v>
      </c>
      <c r="AA963" t="str">
        <f>INDEX('Priority activities'!$D$5:$D$86,MATCH('Database for analysis'!C963,'Priority activities'!$C$5:$C$86,0))</f>
        <v>n/a</v>
      </c>
    </row>
    <row r="964" spans="2:27" ht="16.5" thickTop="1" thickBot="1" x14ac:dyDescent="0.3">
      <c r="B964" t="s">
        <v>727</v>
      </c>
      <c r="C964" s="22" t="str">
        <f>'Costing inputs'!$C$443</f>
        <v>Surveys/ investigations (n/a)</v>
      </c>
      <c r="D964" s="22">
        <f>'Costing inputs'!$U$443</f>
        <v>0</v>
      </c>
      <c r="E964" s="22" t="str">
        <f>'Regional splits'!$D$14</f>
        <v>Copperbelt</v>
      </c>
      <c r="F964" t="e">
        <v>#N/A</v>
      </c>
      <c r="G964" t="e">
        <v>#N/A</v>
      </c>
      <c r="H964" t="e">
        <v>#N/A</v>
      </c>
      <c r="I964" t="e">
        <v>#N/A</v>
      </c>
      <c r="J964" t="e">
        <v>#N/A</v>
      </c>
      <c r="K964" t="e">
        <v>#N/A</v>
      </c>
      <c r="L964" t="e">
        <v>#N/A</v>
      </c>
      <c r="M964" t="e">
        <v>#N/A</v>
      </c>
      <c r="N964" t="e">
        <v>#N/A</v>
      </c>
      <c r="O964" t="e">
        <v>#N/A</v>
      </c>
      <c r="P964" s="5">
        <f t="shared" ref="P964:P1027" si="167">SUMIF(F964:O964,"&lt;&gt;#N/A")</f>
        <v>0</v>
      </c>
      <c r="Q964">
        <f t="shared" ref="Q964:Q1027" si="168">IF(ISNA(F964),0,F964)</f>
        <v>0</v>
      </c>
      <c r="R964">
        <f t="shared" ref="R964:R1027" si="169">IF(ISNA(G964),0,G964)</f>
        <v>0</v>
      </c>
      <c r="S964">
        <f t="shared" ref="S964:S1027" si="170">IF(ISNA(H964),0,H964)</f>
        <v>0</v>
      </c>
      <c r="T964">
        <f t="shared" ref="T964:T1027" si="171">IF(ISNA(I964),0,I964)</f>
        <v>0</v>
      </c>
      <c r="U964">
        <f t="shared" ref="U964:U1027" si="172">IF(ISNA(J964),0,J964)</f>
        <v>0</v>
      </c>
      <c r="V964">
        <f t="shared" ref="V964:V1027" si="173">IF(ISNA(K964),0,K964)</f>
        <v>0</v>
      </c>
      <c r="W964">
        <f t="shared" ref="W964:W1027" si="174">IF(ISNA(L964),0,L964)</f>
        <v>0</v>
      </c>
      <c r="X964">
        <f t="shared" ref="X964:X1027" si="175">IF(ISNA(M964),0,M964)</f>
        <v>0</v>
      </c>
      <c r="Y964">
        <f t="shared" ref="Y964:Y1027" si="176">IF(ISNA(N964),0,N964)</f>
        <v>0</v>
      </c>
      <c r="Z964">
        <f t="shared" ref="Z964:Z1027" si="177">IF(ISNA(O964),0,O964)</f>
        <v>0</v>
      </c>
      <c r="AA964" t="str">
        <f>INDEX('Priority activities'!$D$5:$D$86,MATCH('Database for analysis'!C964,'Priority activities'!$C$5:$C$86,0))</f>
        <v>n/a</v>
      </c>
    </row>
    <row r="965" spans="2:27" ht="16.5" thickTop="1" thickBot="1" x14ac:dyDescent="0.3">
      <c r="B965" t="s">
        <v>727</v>
      </c>
      <c r="C965" s="22" t="str">
        <f>'Costing inputs'!$C$443</f>
        <v>Surveys/ investigations (n/a)</v>
      </c>
      <c r="D965" s="22">
        <f>'Costing inputs'!$U$443</f>
        <v>0</v>
      </c>
      <c r="E965" s="22" t="str">
        <f>'Regional splits'!$E$14</f>
        <v>Eastern</v>
      </c>
      <c r="F965" t="e">
        <v>#N/A</v>
      </c>
      <c r="G965" t="e">
        <v>#N/A</v>
      </c>
      <c r="H965" t="e">
        <v>#N/A</v>
      </c>
      <c r="I965" t="e">
        <v>#N/A</v>
      </c>
      <c r="J965" t="e">
        <v>#N/A</v>
      </c>
      <c r="K965" t="e">
        <v>#N/A</v>
      </c>
      <c r="L965" t="e">
        <v>#N/A</v>
      </c>
      <c r="M965" t="e">
        <v>#N/A</v>
      </c>
      <c r="N965" t="e">
        <v>#N/A</v>
      </c>
      <c r="O965" t="e">
        <v>#N/A</v>
      </c>
      <c r="P965" s="5">
        <f t="shared" si="167"/>
        <v>0</v>
      </c>
      <c r="Q965">
        <f t="shared" si="168"/>
        <v>0</v>
      </c>
      <c r="R965">
        <f t="shared" si="169"/>
        <v>0</v>
      </c>
      <c r="S965">
        <f t="shared" si="170"/>
        <v>0</v>
      </c>
      <c r="T965">
        <f t="shared" si="171"/>
        <v>0</v>
      </c>
      <c r="U965">
        <f t="shared" si="172"/>
        <v>0</v>
      </c>
      <c r="V965">
        <f t="shared" si="173"/>
        <v>0</v>
      </c>
      <c r="W965">
        <f t="shared" si="174"/>
        <v>0</v>
      </c>
      <c r="X965">
        <f t="shared" si="175"/>
        <v>0</v>
      </c>
      <c r="Y965">
        <f t="shared" si="176"/>
        <v>0</v>
      </c>
      <c r="Z965">
        <f t="shared" si="177"/>
        <v>0</v>
      </c>
      <c r="AA965" t="str">
        <f>INDEX('Priority activities'!$D$5:$D$86,MATCH('Database for analysis'!C965,'Priority activities'!$C$5:$C$86,0))</f>
        <v>n/a</v>
      </c>
    </row>
    <row r="966" spans="2:27" ht="16.5" thickTop="1" thickBot="1" x14ac:dyDescent="0.3">
      <c r="B966" t="s">
        <v>727</v>
      </c>
      <c r="C966" s="22" t="str">
        <f>'Costing inputs'!$C$443</f>
        <v>Surveys/ investigations (n/a)</v>
      </c>
      <c r="D966" s="22">
        <f>'Costing inputs'!$U$443</f>
        <v>0</v>
      </c>
      <c r="E966" s="22" t="str">
        <f>'Regional splits'!$F$14</f>
        <v>Luapula</v>
      </c>
      <c r="F966" t="e">
        <v>#N/A</v>
      </c>
      <c r="G966" t="e">
        <v>#N/A</v>
      </c>
      <c r="H966" t="e">
        <v>#N/A</v>
      </c>
      <c r="I966" t="e">
        <v>#N/A</v>
      </c>
      <c r="J966" t="e">
        <v>#N/A</v>
      </c>
      <c r="K966" t="e">
        <v>#N/A</v>
      </c>
      <c r="L966" t="e">
        <v>#N/A</v>
      </c>
      <c r="M966" t="e">
        <v>#N/A</v>
      </c>
      <c r="N966" t="e">
        <v>#N/A</v>
      </c>
      <c r="O966" t="e">
        <v>#N/A</v>
      </c>
      <c r="P966" s="5">
        <f t="shared" si="167"/>
        <v>0</v>
      </c>
      <c r="Q966">
        <f t="shared" si="168"/>
        <v>0</v>
      </c>
      <c r="R966">
        <f t="shared" si="169"/>
        <v>0</v>
      </c>
      <c r="S966">
        <f t="shared" si="170"/>
        <v>0</v>
      </c>
      <c r="T966">
        <f t="shared" si="171"/>
        <v>0</v>
      </c>
      <c r="U966">
        <f t="shared" si="172"/>
        <v>0</v>
      </c>
      <c r="V966">
        <f t="shared" si="173"/>
        <v>0</v>
      </c>
      <c r="W966">
        <f t="shared" si="174"/>
        <v>0</v>
      </c>
      <c r="X966">
        <f t="shared" si="175"/>
        <v>0</v>
      </c>
      <c r="Y966">
        <f t="shared" si="176"/>
        <v>0</v>
      </c>
      <c r="Z966">
        <f t="shared" si="177"/>
        <v>0</v>
      </c>
      <c r="AA966" t="str">
        <f>INDEX('Priority activities'!$D$5:$D$86,MATCH('Database for analysis'!C966,'Priority activities'!$C$5:$C$86,0))</f>
        <v>n/a</v>
      </c>
    </row>
    <row r="967" spans="2:27" ht="16.5" thickTop="1" thickBot="1" x14ac:dyDescent="0.3">
      <c r="B967" t="s">
        <v>727</v>
      </c>
      <c r="C967" s="22" t="str">
        <f>'Costing inputs'!$C$443</f>
        <v>Surveys/ investigations (n/a)</v>
      </c>
      <c r="D967" s="22">
        <f>'Costing inputs'!$U$443</f>
        <v>0</v>
      </c>
      <c r="E967" s="22" t="str">
        <f>'Regional splits'!$G$14</f>
        <v>Lusaka</v>
      </c>
      <c r="F967" t="e">
        <v>#N/A</v>
      </c>
      <c r="G967" t="e">
        <v>#N/A</v>
      </c>
      <c r="H967" t="e">
        <v>#N/A</v>
      </c>
      <c r="I967" t="e">
        <v>#N/A</v>
      </c>
      <c r="J967" t="e">
        <v>#N/A</v>
      </c>
      <c r="K967" t="e">
        <v>#N/A</v>
      </c>
      <c r="L967" t="e">
        <v>#N/A</v>
      </c>
      <c r="M967" t="e">
        <v>#N/A</v>
      </c>
      <c r="N967" t="e">
        <v>#N/A</v>
      </c>
      <c r="O967" t="e">
        <v>#N/A</v>
      </c>
      <c r="P967" s="5">
        <f t="shared" si="167"/>
        <v>0</v>
      </c>
      <c r="Q967">
        <f t="shared" si="168"/>
        <v>0</v>
      </c>
      <c r="R967">
        <f t="shared" si="169"/>
        <v>0</v>
      </c>
      <c r="S967">
        <f t="shared" si="170"/>
        <v>0</v>
      </c>
      <c r="T967">
        <f t="shared" si="171"/>
        <v>0</v>
      </c>
      <c r="U967">
        <f t="shared" si="172"/>
        <v>0</v>
      </c>
      <c r="V967">
        <f t="shared" si="173"/>
        <v>0</v>
      </c>
      <c r="W967">
        <f t="shared" si="174"/>
        <v>0</v>
      </c>
      <c r="X967">
        <f t="shared" si="175"/>
        <v>0</v>
      </c>
      <c r="Y967">
        <f t="shared" si="176"/>
        <v>0</v>
      </c>
      <c r="Z967">
        <f t="shared" si="177"/>
        <v>0</v>
      </c>
      <c r="AA967" t="str">
        <f>INDEX('Priority activities'!$D$5:$D$86,MATCH('Database for analysis'!C967,'Priority activities'!$C$5:$C$86,0))</f>
        <v>n/a</v>
      </c>
    </row>
    <row r="968" spans="2:27" ht="16.5" thickTop="1" thickBot="1" x14ac:dyDescent="0.3">
      <c r="B968" t="s">
        <v>727</v>
      </c>
      <c r="C968" s="22" t="str">
        <f>'Costing inputs'!$C$443</f>
        <v>Surveys/ investigations (n/a)</v>
      </c>
      <c r="D968" s="22">
        <f>'Costing inputs'!$U$443</f>
        <v>0</v>
      </c>
      <c r="E968" s="22" t="str">
        <f>'Regional splits'!$H$14</f>
        <v>Muchinga</v>
      </c>
      <c r="F968" t="e">
        <v>#N/A</v>
      </c>
      <c r="G968" t="e">
        <v>#N/A</v>
      </c>
      <c r="H968" t="e">
        <v>#N/A</v>
      </c>
      <c r="I968" t="e">
        <v>#N/A</v>
      </c>
      <c r="J968" t="e">
        <v>#N/A</v>
      </c>
      <c r="K968" t="e">
        <v>#N/A</v>
      </c>
      <c r="L968" t="e">
        <v>#N/A</v>
      </c>
      <c r="M968" t="e">
        <v>#N/A</v>
      </c>
      <c r="N968" t="e">
        <v>#N/A</v>
      </c>
      <c r="O968" t="e">
        <v>#N/A</v>
      </c>
      <c r="P968" s="5">
        <f t="shared" si="167"/>
        <v>0</v>
      </c>
      <c r="Q968">
        <f t="shared" si="168"/>
        <v>0</v>
      </c>
      <c r="R968">
        <f t="shared" si="169"/>
        <v>0</v>
      </c>
      <c r="S968">
        <f t="shared" si="170"/>
        <v>0</v>
      </c>
      <c r="T968">
        <f t="shared" si="171"/>
        <v>0</v>
      </c>
      <c r="U968">
        <f t="shared" si="172"/>
        <v>0</v>
      </c>
      <c r="V968">
        <f t="shared" si="173"/>
        <v>0</v>
      </c>
      <c r="W968">
        <f t="shared" si="174"/>
        <v>0</v>
      </c>
      <c r="X968">
        <f t="shared" si="175"/>
        <v>0</v>
      </c>
      <c r="Y968">
        <f t="shared" si="176"/>
        <v>0</v>
      </c>
      <c r="Z968">
        <f t="shared" si="177"/>
        <v>0</v>
      </c>
      <c r="AA968" t="str">
        <f>INDEX('Priority activities'!$D$5:$D$86,MATCH('Database for analysis'!C968,'Priority activities'!$C$5:$C$86,0))</f>
        <v>n/a</v>
      </c>
    </row>
    <row r="969" spans="2:27" ht="16.5" thickTop="1" thickBot="1" x14ac:dyDescent="0.3">
      <c r="B969" t="s">
        <v>727</v>
      </c>
      <c r="C969" s="22" t="str">
        <f>'Costing inputs'!$C$443</f>
        <v>Surveys/ investigations (n/a)</v>
      </c>
      <c r="D969" s="22">
        <f>'Costing inputs'!$U$443</f>
        <v>0</v>
      </c>
      <c r="E969" s="22" t="str">
        <f>'Regional splits'!$I$14</f>
        <v>Northern</v>
      </c>
      <c r="F969" t="e">
        <v>#N/A</v>
      </c>
      <c r="G969" t="e">
        <v>#N/A</v>
      </c>
      <c r="H969" t="e">
        <v>#N/A</v>
      </c>
      <c r="I969" t="e">
        <v>#N/A</v>
      </c>
      <c r="J969" t="e">
        <v>#N/A</v>
      </c>
      <c r="K969" t="e">
        <v>#N/A</v>
      </c>
      <c r="L969" t="e">
        <v>#N/A</v>
      </c>
      <c r="M969" t="e">
        <v>#N/A</v>
      </c>
      <c r="N969" t="e">
        <v>#N/A</v>
      </c>
      <c r="O969" t="e">
        <v>#N/A</v>
      </c>
      <c r="P969" s="5">
        <f t="shared" si="167"/>
        <v>0</v>
      </c>
      <c r="Q969">
        <f t="shared" si="168"/>
        <v>0</v>
      </c>
      <c r="R969">
        <f t="shared" si="169"/>
        <v>0</v>
      </c>
      <c r="S969">
        <f t="shared" si="170"/>
        <v>0</v>
      </c>
      <c r="T969">
        <f t="shared" si="171"/>
        <v>0</v>
      </c>
      <c r="U969">
        <f t="shared" si="172"/>
        <v>0</v>
      </c>
      <c r="V969">
        <f t="shared" si="173"/>
        <v>0</v>
      </c>
      <c r="W969">
        <f t="shared" si="174"/>
        <v>0</v>
      </c>
      <c r="X969">
        <f t="shared" si="175"/>
        <v>0</v>
      </c>
      <c r="Y969">
        <f t="shared" si="176"/>
        <v>0</v>
      </c>
      <c r="Z969">
        <f t="shared" si="177"/>
        <v>0</v>
      </c>
      <c r="AA969" t="str">
        <f>INDEX('Priority activities'!$D$5:$D$86,MATCH('Database for analysis'!C969,'Priority activities'!$C$5:$C$86,0))</f>
        <v>n/a</v>
      </c>
    </row>
    <row r="970" spans="2:27" ht="16.5" thickTop="1" thickBot="1" x14ac:dyDescent="0.3">
      <c r="B970" t="s">
        <v>727</v>
      </c>
      <c r="C970" s="22" t="str">
        <f>'Costing inputs'!$C$443</f>
        <v>Surveys/ investigations (n/a)</v>
      </c>
      <c r="D970" s="22">
        <f>'Costing inputs'!$U$443</f>
        <v>0</v>
      </c>
      <c r="E970" s="22" t="str">
        <f>'Regional splits'!$J$14</f>
        <v>North Western</v>
      </c>
      <c r="F970" t="e">
        <v>#N/A</v>
      </c>
      <c r="G970" t="e">
        <v>#N/A</v>
      </c>
      <c r="H970" t="e">
        <v>#N/A</v>
      </c>
      <c r="I970" t="e">
        <v>#N/A</v>
      </c>
      <c r="J970" t="e">
        <v>#N/A</v>
      </c>
      <c r="K970" t="e">
        <v>#N/A</v>
      </c>
      <c r="L970" t="e">
        <v>#N/A</v>
      </c>
      <c r="M970" t="e">
        <v>#N/A</v>
      </c>
      <c r="N970" t="e">
        <v>#N/A</v>
      </c>
      <c r="O970" t="e">
        <v>#N/A</v>
      </c>
      <c r="P970" s="5">
        <f t="shared" si="167"/>
        <v>0</v>
      </c>
      <c r="Q970">
        <f t="shared" si="168"/>
        <v>0</v>
      </c>
      <c r="R970">
        <f t="shared" si="169"/>
        <v>0</v>
      </c>
      <c r="S970">
        <f t="shared" si="170"/>
        <v>0</v>
      </c>
      <c r="T970">
        <f t="shared" si="171"/>
        <v>0</v>
      </c>
      <c r="U970">
        <f t="shared" si="172"/>
        <v>0</v>
      </c>
      <c r="V970">
        <f t="shared" si="173"/>
        <v>0</v>
      </c>
      <c r="W970">
        <f t="shared" si="174"/>
        <v>0</v>
      </c>
      <c r="X970">
        <f t="shared" si="175"/>
        <v>0</v>
      </c>
      <c r="Y970">
        <f t="shared" si="176"/>
        <v>0</v>
      </c>
      <c r="Z970">
        <f t="shared" si="177"/>
        <v>0</v>
      </c>
      <c r="AA970" t="str">
        <f>INDEX('Priority activities'!$D$5:$D$86,MATCH('Database for analysis'!C970,'Priority activities'!$C$5:$C$86,0))</f>
        <v>n/a</v>
      </c>
    </row>
    <row r="971" spans="2:27" ht="16.5" thickTop="1" thickBot="1" x14ac:dyDescent="0.3">
      <c r="B971" t="s">
        <v>727</v>
      </c>
      <c r="C971" s="22" t="str">
        <f>'Costing inputs'!$C$443</f>
        <v>Surveys/ investigations (n/a)</v>
      </c>
      <c r="D971" s="22">
        <f>'Costing inputs'!$U$443</f>
        <v>0</v>
      </c>
      <c r="E971" s="22" t="str">
        <f>'Regional splits'!$K$14</f>
        <v>Southern</v>
      </c>
      <c r="F971" t="e">
        <v>#N/A</v>
      </c>
      <c r="G971" t="e">
        <v>#N/A</v>
      </c>
      <c r="H971" t="e">
        <v>#N/A</v>
      </c>
      <c r="I971" t="e">
        <v>#N/A</v>
      </c>
      <c r="J971" t="e">
        <v>#N/A</v>
      </c>
      <c r="K971" t="e">
        <v>#N/A</v>
      </c>
      <c r="L971" t="e">
        <v>#N/A</v>
      </c>
      <c r="M971" t="e">
        <v>#N/A</v>
      </c>
      <c r="N971" t="e">
        <v>#N/A</v>
      </c>
      <c r="O971" t="e">
        <v>#N/A</v>
      </c>
      <c r="P971" s="5">
        <f t="shared" si="167"/>
        <v>0</v>
      </c>
      <c r="Q971">
        <f t="shared" si="168"/>
        <v>0</v>
      </c>
      <c r="R971">
        <f t="shared" si="169"/>
        <v>0</v>
      </c>
      <c r="S971">
        <f t="shared" si="170"/>
        <v>0</v>
      </c>
      <c r="T971">
        <f t="shared" si="171"/>
        <v>0</v>
      </c>
      <c r="U971">
        <f t="shared" si="172"/>
        <v>0</v>
      </c>
      <c r="V971">
        <f t="shared" si="173"/>
        <v>0</v>
      </c>
      <c r="W971">
        <f t="shared" si="174"/>
        <v>0</v>
      </c>
      <c r="X971">
        <f t="shared" si="175"/>
        <v>0</v>
      </c>
      <c r="Y971">
        <f t="shared" si="176"/>
        <v>0</v>
      </c>
      <c r="Z971">
        <f t="shared" si="177"/>
        <v>0</v>
      </c>
      <c r="AA971" t="str">
        <f>INDEX('Priority activities'!$D$5:$D$86,MATCH('Database for analysis'!C971,'Priority activities'!$C$5:$C$86,0))</f>
        <v>n/a</v>
      </c>
    </row>
    <row r="972" spans="2:27" ht="16.5" thickTop="1" thickBot="1" x14ac:dyDescent="0.3">
      <c r="B972" t="s">
        <v>727</v>
      </c>
      <c r="C972" s="22" t="str">
        <f>'Costing inputs'!$C$443</f>
        <v>Surveys/ investigations (n/a)</v>
      </c>
      <c r="D972" s="22">
        <f>'Costing inputs'!$U$443</f>
        <v>0</v>
      </c>
      <c r="E972" s="22" t="str">
        <f>'Regional splits'!$L$14</f>
        <v>Western</v>
      </c>
      <c r="F972" t="e">
        <v>#N/A</v>
      </c>
      <c r="G972" t="e">
        <v>#N/A</v>
      </c>
      <c r="H972" t="e">
        <v>#N/A</v>
      </c>
      <c r="I972" t="e">
        <v>#N/A</v>
      </c>
      <c r="J972" t="e">
        <v>#N/A</v>
      </c>
      <c r="K972" t="e">
        <v>#N/A</v>
      </c>
      <c r="L972" t="e">
        <v>#N/A</v>
      </c>
      <c r="M972" t="e">
        <v>#N/A</v>
      </c>
      <c r="N972" t="e">
        <v>#N/A</v>
      </c>
      <c r="O972" t="e">
        <v>#N/A</v>
      </c>
      <c r="P972" s="5">
        <f t="shared" si="167"/>
        <v>0</v>
      </c>
      <c r="Q972">
        <f t="shared" si="168"/>
        <v>0</v>
      </c>
      <c r="R972">
        <f t="shared" si="169"/>
        <v>0</v>
      </c>
      <c r="S972">
        <f t="shared" si="170"/>
        <v>0</v>
      </c>
      <c r="T972">
        <f t="shared" si="171"/>
        <v>0</v>
      </c>
      <c r="U972">
        <f t="shared" si="172"/>
        <v>0</v>
      </c>
      <c r="V972">
        <f t="shared" si="173"/>
        <v>0</v>
      </c>
      <c r="W972">
        <f t="shared" si="174"/>
        <v>0</v>
      </c>
      <c r="X972">
        <f t="shared" si="175"/>
        <v>0</v>
      </c>
      <c r="Y972">
        <f t="shared" si="176"/>
        <v>0</v>
      </c>
      <c r="Z972">
        <f t="shared" si="177"/>
        <v>0</v>
      </c>
      <c r="AA972" t="str">
        <f>INDEX('Priority activities'!$D$5:$D$86,MATCH('Database for analysis'!C972,'Priority activities'!$C$5:$C$86,0))</f>
        <v>n/a</v>
      </c>
    </row>
    <row r="973" spans="2:27" ht="16.5" thickTop="1" thickBot="1" x14ac:dyDescent="0.3">
      <c r="B973" t="s">
        <v>727</v>
      </c>
      <c r="C973" s="22" t="str">
        <f>'Costing inputs'!$C$443</f>
        <v>Surveys/ investigations (n/a)</v>
      </c>
      <c r="D973" s="22">
        <f>'Costing inputs'!$U$443</f>
        <v>0</v>
      </c>
      <c r="E973" s="22">
        <f>'Regional splits'!$M$14</f>
        <v>0</v>
      </c>
      <c r="F973" t="e">
        <v>#N/A</v>
      </c>
      <c r="G973" t="e">
        <v>#N/A</v>
      </c>
      <c r="H973" t="e">
        <v>#N/A</v>
      </c>
      <c r="I973" t="e">
        <v>#N/A</v>
      </c>
      <c r="J973" t="e">
        <v>#N/A</v>
      </c>
      <c r="K973" t="e">
        <v>#N/A</v>
      </c>
      <c r="L973" t="e">
        <v>#N/A</v>
      </c>
      <c r="M973" t="e">
        <v>#N/A</v>
      </c>
      <c r="N973" t="e">
        <v>#N/A</v>
      </c>
      <c r="O973" t="e">
        <v>#N/A</v>
      </c>
      <c r="P973" s="5">
        <f t="shared" si="167"/>
        <v>0</v>
      </c>
      <c r="Q973">
        <f t="shared" si="168"/>
        <v>0</v>
      </c>
      <c r="R973">
        <f t="shared" si="169"/>
        <v>0</v>
      </c>
      <c r="S973">
        <f t="shared" si="170"/>
        <v>0</v>
      </c>
      <c r="T973">
        <f t="shared" si="171"/>
        <v>0</v>
      </c>
      <c r="U973">
        <f t="shared" si="172"/>
        <v>0</v>
      </c>
      <c r="V973">
        <f t="shared" si="173"/>
        <v>0</v>
      </c>
      <c r="W973">
        <f t="shared" si="174"/>
        <v>0</v>
      </c>
      <c r="X973">
        <f t="shared" si="175"/>
        <v>0</v>
      </c>
      <c r="Y973">
        <f t="shared" si="176"/>
        <v>0</v>
      </c>
      <c r="Z973">
        <f t="shared" si="177"/>
        <v>0</v>
      </c>
      <c r="AA973" t="str">
        <f>INDEX('Priority activities'!$D$5:$D$86,MATCH('Database for analysis'!C973,'Priority activities'!$C$5:$C$86,0))</f>
        <v>n/a</v>
      </c>
    </row>
    <row r="974" spans="2:27" ht="16.5" thickTop="1" thickBot="1" x14ac:dyDescent="0.3">
      <c r="B974" t="s">
        <v>727</v>
      </c>
      <c r="C974" s="22" t="str">
        <f>'Costing inputs'!$C$443</f>
        <v>Surveys/ investigations (n/a)</v>
      </c>
      <c r="D974" s="22">
        <f>'Costing inputs'!$U$443</f>
        <v>0</v>
      </c>
      <c r="E974" s="22">
        <f>'Regional splits'!$N$14</f>
        <v>0</v>
      </c>
      <c r="F974" t="e">
        <v>#N/A</v>
      </c>
      <c r="G974" t="e">
        <v>#N/A</v>
      </c>
      <c r="H974" t="e">
        <v>#N/A</v>
      </c>
      <c r="I974" t="e">
        <v>#N/A</v>
      </c>
      <c r="J974" t="e">
        <v>#N/A</v>
      </c>
      <c r="K974" t="e">
        <v>#N/A</v>
      </c>
      <c r="L974" t="e">
        <v>#N/A</v>
      </c>
      <c r="M974" t="e">
        <v>#N/A</v>
      </c>
      <c r="N974" t="e">
        <v>#N/A</v>
      </c>
      <c r="O974" t="e">
        <v>#N/A</v>
      </c>
      <c r="P974" s="5">
        <f t="shared" si="167"/>
        <v>0</v>
      </c>
      <c r="Q974">
        <f t="shared" si="168"/>
        <v>0</v>
      </c>
      <c r="R974">
        <f t="shared" si="169"/>
        <v>0</v>
      </c>
      <c r="S974">
        <f t="shared" si="170"/>
        <v>0</v>
      </c>
      <c r="T974">
        <f t="shared" si="171"/>
        <v>0</v>
      </c>
      <c r="U974">
        <f t="shared" si="172"/>
        <v>0</v>
      </c>
      <c r="V974">
        <f t="shared" si="173"/>
        <v>0</v>
      </c>
      <c r="W974">
        <f t="shared" si="174"/>
        <v>0</v>
      </c>
      <c r="X974">
        <f t="shared" si="175"/>
        <v>0</v>
      </c>
      <c r="Y974">
        <f t="shared" si="176"/>
        <v>0</v>
      </c>
      <c r="Z974">
        <f t="shared" si="177"/>
        <v>0</v>
      </c>
      <c r="AA974" t="str">
        <f>INDEX('Priority activities'!$D$5:$D$86,MATCH('Database for analysis'!C974,'Priority activities'!$C$5:$C$86,0))</f>
        <v>n/a</v>
      </c>
    </row>
    <row r="975" spans="2:27" ht="16.5" thickTop="1" thickBot="1" x14ac:dyDescent="0.3">
      <c r="B975" t="s">
        <v>727</v>
      </c>
      <c r="C975" s="22" t="str">
        <f>'Costing inputs'!$C$443</f>
        <v>Surveys/ investigations (n/a)</v>
      </c>
      <c r="D975" s="22">
        <f>'Costing inputs'!$U$443</f>
        <v>0</v>
      </c>
      <c r="E975" s="22">
        <f>'Regional splits'!$O$14</f>
        <v>0</v>
      </c>
      <c r="F975" t="e">
        <v>#N/A</v>
      </c>
      <c r="G975" t="e">
        <v>#N/A</v>
      </c>
      <c r="H975" t="e">
        <v>#N/A</v>
      </c>
      <c r="I975" t="e">
        <v>#N/A</v>
      </c>
      <c r="J975" t="e">
        <v>#N/A</v>
      </c>
      <c r="K975" t="e">
        <v>#N/A</v>
      </c>
      <c r="L975" t="e">
        <v>#N/A</v>
      </c>
      <c r="M975" t="e">
        <v>#N/A</v>
      </c>
      <c r="N975" t="e">
        <v>#N/A</v>
      </c>
      <c r="O975" t="e">
        <v>#N/A</v>
      </c>
      <c r="P975" s="5">
        <f t="shared" si="167"/>
        <v>0</v>
      </c>
      <c r="Q975">
        <f t="shared" si="168"/>
        <v>0</v>
      </c>
      <c r="R975">
        <f t="shared" si="169"/>
        <v>0</v>
      </c>
      <c r="S975">
        <f t="shared" si="170"/>
        <v>0</v>
      </c>
      <c r="T975">
        <f t="shared" si="171"/>
        <v>0</v>
      </c>
      <c r="U975">
        <f t="shared" si="172"/>
        <v>0</v>
      </c>
      <c r="V975">
        <f t="shared" si="173"/>
        <v>0</v>
      </c>
      <c r="W975">
        <f t="shared" si="174"/>
        <v>0</v>
      </c>
      <c r="X975">
        <f t="shared" si="175"/>
        <v>0</v>
      </c>
      <c r="Y975">
        <f t="shared" si="176"/>
        <v>0</v>
      </c>
      <c r="Z975">
        <f t="shared" si="177"/>
        <v>0</v>
      </c>
      <c r="AA975" t="str">
        <f>INDEX('Priority activities'!$D$5:$D$86,MATCH('Database for analysis'!C975,'Priority activities'!$C$5:$C$86,0))</f>
        <v>n/a</v>
      </c>
    </row>
    <row r="976" spans="2:27" ht="16.5" thickTop="1" thickBot="1" x14ac:dyDescent="0.3">
      <c r="B976" t="s">
        <v>727</v>
      </c>
      <c r="C976" s="22" t="str">
        <f>'Costing inputs'!$C$443</f>
        <v>Surveys/ investigations (n/a)</v>
      </c>
      <c r="D976" s="22">
        <f>'Costing inputs'!$U$443</f>
        <v>0</v>
      </c>
      <c r="E976" s="22">
        <f>'Regional splits'!$P$14</f>
        <v>0</v>
      </c>
      <c r="F976" t="e">
        <v>#N/A</v>
      </c>
      <c r="G976" t="e">
        <v>#N/A</v>
      </c>
      <c r="H976" t="e">
        <v>#N/A</v>
      </c>
      <c r="I976" t="e">
        <v>#N/A</v>
      </c>
      <c r="J976" t="e">
        <v>#N/A</v>
      </c>
      <c r="K976" t="e">
        <v>#N/A</v>
      </c>
      <c r="L976" t="e">
        <v>#N/A</v>
      </c>
      <c r="M976" t="e">
        <v>#N/A</v>
      </c>
      <c r="N976" t="e">
        <v>#N/A</v>
      </c>
      <c r="O976" t="e">
        <v>#N/A</v>
      </c>
      <c r="P976" s="5">
        <f t="shared" si="167"/>
        <v>0</v>
      </c>
      <c r="Q976">
        <f t="shared" si="168"/>
        <v>0</v>
      </c>
      <c r="R976">
        <f t="shared" si="169"/>
        <v>0</v>
      </c>
      <c r="S976">
        <f t="shared" si="170"/>
        <v>0</v>
      </c>
      <c r="T976">
        <f t="shared" si="171"/>
        <v>0</v>
      </c>
      <c r="U976">
        <f t="shared" si="172"/>
        <v>0</v>
      </c>
      <c r="V976">
        <f t="shared" si="173"/>
        <v>0</v>
      </c>
      <c r="W976">
        <f t="shared" si="174"/>
        <v>0</v>
      </c>
      <c r="X976">
        <f t="shared" si="175"/>
        <v>0</v>
      </c>
      <c r="Y976">
        <f t="shared" si="176"/>
        <v>0</v>
      </c>
      <c r="Z976">
        <f t="shared" si="177"/>
        <v>0</v>
      </c>
      <c r="AA976" t="str">
        <f>INDEX('Priority activities'!$D$5:$D$86,MATCH('Database for analysis'!C976,'Priority activities'!$C$5:$C$86,0))</f>
        <v>n/a</v>
      </c>
    </row>
    <row r="977" spans="2:27" ht="16.5" thickTop="1" thickBot="1" x14ac:dyDescent="0.3">
      <c r="B977" t="s">
        <v>727</v>
      </c>
      <c r="C977" s="22" t="str">
        <f>'Costing inputs'!$C$443</f>
        <v>Surveys/ investigations (n/a)</v>
      </c>
      <c r="D977" s="22">
        <f>'Costing inputs'!$U$443</f>
        <v>0</v>
      </c>
      <c r="E977" s="22">
        <f>'Regional splits'!$Q$14</f>
        <v>0</v>
      </c>
      <c r="F977" t="e">
        <v>#N/A</v>
      </c>
      <c r="G977" t="e">
        <v>#N/A</v>
      </c>
      <c r="H977" t="e">
        <v>#N/A</v>
      </c>
      <c r="I977" t="e">
        <v>#N/A</v>
      </c>
      <c r="J977" t="e">
        <v>#N/A</v>
      </c>
      <c r="K977" t="e">
        <v>#N/A</v>
      </c>
      <c r="L977" t="e">
        <v>#N/A</v>
      </c>
      <c r="M977" t="e">
        <v>#N/A</v>
      </c>
      <c r="N977" t="e">
        <v>#N/A</v>
      </c>
      <c r="O977" t="e">
        <v>#N/A</v>
      </c>
      <c r="P977" s="5">
        <f t="shared" si="167"/>
        <v>0</v>
      </c>
      <c r="Q977">
        <f t="shared" si="168"/>
        <v>0</v>
      </c>
      <c r="R977">
        <f t="shared" si="169"/>
        <v>0</v>
      </c>
      <c r="S977">
        <f t="shared" si="170"/>
        <v>0</v>
      </c>
      <c r="T977">
        <f t="shared" si="171"/>
        <v>0</v>
      </c>
      <c r="U977">
        <f t="shared" si="172"/>
        <v>0</v>
      </c>
      <c r="V977">
        <f t="shared" si="173"/>
        <v>0</v>
      </c>
      <c r="W977">
        <f t="shared" si="174"/>
        <v>0</v>
      </c>
      <c r="X977">
        <f t="shared" si="175"/>
        <v>0</v>
      </c>
      <c r="Y977">
        <f t="shared" si="176"/>
        <v>0</v>
      </c>
      <c r="Z977">
        <f t="shared" si="177"/>
        <v>0</v>
      </c>
      <c r="AA977" t="str">
        <f>INDEX('Priority activities'!$D$5:$D$86,MATCH('Database for analysis'!C977,'Priority activities'!$C$5:$C$86,0))</f>
        <v>n/a</v>
      </c>
    </row>
    <row r="978" spans="2:27" ht="16.5" thickTop="1" thickBot="1" x14ac:dyDescent="0.3">
      <c r="B978" t="s">
        <v>727</v>
      </c>
      <c r="C978" s="22" t="str">
        <f>'Costing inputs'!$C$443</f>
        <v>Surveys/ investigations (n/a)</v>
      </c>
      <c r="D978" s="22">
        <f>'Costing inputs'!$U$443</f>
        <v>0</v>
      </c>
      <c r="E978" s="22" t="str">
        <f>'Regional splits'!$R$14</f>
        <v>National-level</v>
      </c>
      <c r="F978" t="e">
        <v>#N/A</v>
      </c>
      <c r="G978" t="e">
        <v>#N/A</v>
      </c>
      <c r="H978" t="e">
        <v>#N/A</v>
      </c>
      <c r="I978" t="e">
        <v>#N/A</v>
      </c>
      <c r="J978" t="e">
        <v>#N/A</v>
      </c>
      <c r="K978" t="e">
        <v>#N/A</v>
      </c>
      <c r="L978" t="e">
        <v>#N/A</v>
      </c>
      <c r="M978" t="e">
        <v>#N/A</v>
      </c>
      <c r="N978" t="e">
        <v>#N/A</v>
      </c>
      <c r="O978" t="e">
        <v>#N/A</v>
      </c>
      <c r="P978" s="5">
        <f t="shared" si="167"/>
        <v>0</v>
      </c>
      <c r="Q978">
        <f t="shared" si="168"/>
        <v>0</v>
      </c>
      <c r="R978">
        <f t="shared" si="169"/>
        <v>0</v>
      </c>
      <c r="S978">
        <f t="shared" si="170"/>
        <v>0</v>
      </c>
      <c r="T978">
        <f t="shared" si="171"/>
        <v>0</v>
      </c>
      <c r="U978">
        <f t="shared" si="172"/>
        <v>0</v>
      </c>
      <c r="V978">
        <f t="shared" si="173"/>
        <v>0</v>
      </c>
      <c r="W978">
        <f t="shared" si="174"/>
        <v>0</v>
      </c>
      <c r="X978">
        <f t="shared" si="175"/>
        <v>0</v>
      </c>
      <c r="Y978">
        <f t="shared" si="176"/>
        <v>0</v>
      </c>
      <c r="Z978">
        <f t="shared" si="177"/>
        <v>0</v>
      </c>
      <c r="AA978" t="str">
        <f>INDEX('Priority activities'!$D$5:$D$86,MATCH('Database for analysis'!C978,'Priority activities'!$C$5:$C$86,0))</f>
        <v>n/a</v>
      </c>
    </row>
    <row r="979" spans="2:27" ht="16.5" thickTop="1" thickBot="1" x14ac:dyDescent="0.3">
      <c r="B979" t="s">
        <v>727</v>
      </c>
      <c r="C979" s="22" t="str">
        <f>'Costing inputs'!$C$468</f>
        <v>Plan review - midway (SMC4.1)</v>
      </c>
      <c r="D979" s="22" t="str">
        <f>'Costing inputs'!$U$468</f>
        <v>Central level</v>
      </c>
      <c r="E979" s="22" t="str">
        <f>'Regional splits'!$C$14</f>
        <v>Central</v>
      </c>
      <c r="F979">
        <f t="array" ref="F979:O994">'Costing inputs'!S468*'Costing inputs'!AP468:AY468*TRANSPOSE('Costing inputs'!W468:AL468)</f>
        <v>0</v>
      </c>
      <c r="G979">
        <v>0</v>
      </c>
      <c r="H979">
        <v>0</v>
      </c>
      <c r="I979">
        <v>0</v>
      </c>
      <c r="J979">
        <v>0</v>
      </c>
      <c r="K979">
        <v>0</v>
      </c>
      <c r="L979">
        <v>0</v>
      </c>
      <c r="M979">
        <v>0</v>
      </c>
      <c r="N979">
        <v>0</v>
      </c>
      <c r="O979">
        <v>0</v>
      </c>
      <c r="P979" s="5">
        <f t="shared" si="167"/>
        <v>0</v>
      </c>
      <c r="Q979">
        <f t="shared" si="168"/>
        <v>0</v>
      </c>
      <c r="R979">
        <f t="shared" si="169"/>
        <v>0</v>
      </c>
      <c r="S979">
        <f t="shared" si="170"/>
        <v>0</v>
      </c>
      <c r="T979">
        <f t="shared" si="171"/>
        <v>0</v>
      </c>
      <c r="U979">
        <f t="shared" si="172"/>
        <v>0</v>
      </c>
      <c r="V979">
        <f t="shared" si="173"/>
        <v>0</v>
      </c>
      <c r="W979">
        <f t="shared" si="174"/>
        <v>0</v>
      </c>
      <c r="X979">
        <f t="shared" si="175"/>
        <v>0</v>
      </c>
      <c r="Y979">
        <f t="shared" si="176"/>
        <v>0</v>
      </c>
      <c r="Z979">
        <f t="shared" si="177"/>
        <v>0</v>
      </c>
      <c r="AA979" t="str">
        <f>INDEX('Priority activities'!$D$5:$D$86,MATCH('Database for analysis'!C979,'Priority activities'!$C$5:$C$86,0))</f>
        <v>FP governance structure and program coordination</v>
      </c>
    </row>
    <row r="980" spans="2:27" ht="16.5" thickTop="1" thickBot="1" x14ac:dyDescent="0.3">
      <c r="B980" t="s">
        <v>727</v>
      </c>
      <c r="C980" s="22" t="str">
        <f>'Costing inputs'!$C$468</f>
        <v>Plan review - midway (SMC4.1)</v>
      </c>
      <c r="D980" s="22" t="str">
        <f>'Costing inputs'!$U$468</f>
        <v>Central level</v>
      </c>
      <c r="E980" s="22" t="str">
        <f>'Regional splits'!$D$14</f>
        <v>Copperbelt</v>
      </c>
      <c r="F980">
        <v>0</v>
      </c>
      <c r="G980">
        <v>0</v>
      </c>
      <c r="H980">
        <v>0</v>
      </c>
      <c r="I980">
        <v>0</v>
      </c>
      <c r="J980">
        <v>0</v>
      </c>
      <c r="K980">
        <v>0</v>
      </c>
      <c r="L980">
        <v>0</v>
      </c>
      <c r="M980">
        <v>0</v>
      </c>
      <c r="N980">
        <v>0</v>
      </c>
      <c r="O980">
        <v>0</v>
      </c>
      <c r="P980" s="5">
        <f t="shared" si="167"/>
        <v>0</v>
      </c>
      <c r="Q980">
        <f t="shared" si="168"/>
        <v>0</v>
      </c>
      <c r="R980">
        <f t="shared" si="169"/>
        <v>0</v>
      </c>
      <c r="S980">
        <f t="shared" si="170"/>
        <v>0</v>
      </c>
      <c r="T980">
        <f t="shared" si="171"/>
        <v>0</v>
      </c>
      <c r="U980">
        <f t="shared" si="172"/>
        <v>0</v>
      </c>
      <c r="V980">
        <f t="shared" si="173"/>
        <v>0</v>
      </c>
      <c r="W980">
        <f t="shared" si="174"/>
        <v>0</v>
      </c>
      <c r="X980">
        <f t="shared" si="175"/>
        <v>0</v>
      </c>
      <c r="Y980">
        <f t="shared" si="176"/>
        <v>0</v>
      </c>
      <c r="Z980">
        <f t="shared" si="177"/>
        <v>0</v>
      </c>
      <c r="AA980" t="str">
        <f>INDEX('Priority activities'!$D$5:$D$86,MATCH('Database for analysis'!C980,'Priority activities'!$C$5:$C$86,0))</f>
        <v>FP governance structure and program coordination</v>
      </c>
    </row>
    <row r="981" spans="2:27" ht="16.5" thickTop="1" thickBot="1" x14ac:dyDescent="0.3">
      <c r="B981" t="s">
        <v>727</v>
      </c>
      <c r="C981" s="22" t="str">
        <f>'Costing inputs'!$C$468</f>
        <v>Plan review - midway (SMC4.1)</v>
      </c>
      <c r="D981" s="22" t="str">
        <f>'Costing inputs'!$U$468</f>
        <v>Central level</v>
      </c>
      <c r="E981" s="22" t="str">
        <f>'Regional splits'!$E$14</f>
        <v>Eastern</v>
      </c>
      <c r="F981">
        <v>0</v>
      </c>
      <c r="G981">
        <v>0</v>
      </c>
      <c r="H981">
        <v>0</v>
      </c>
      <c r="I981">
        <v>0</v>
      </c>
      <c r="J981">
        <v>0</v>
      </c>
      <c r="K981">
        <v>0</v>
      </c>
      <c r="L981">
        <v>0</v>
      </c>
      <c r="M981">
        <v>0</v>
      </c>
      <c r="N981">
        <v>0</v>
      </c>
      <c r="O981">
        <v>0</v>
      </c>
      <c r="P981" s="5">
        <f t="shared" si="167"/>
        <v>0</v>
      </c>
      <c r="Q981">
        <f t="shared" si="168"/>
        <v>0</v>
      </c>
      <c r="R981">
        <f t="shared" si="169"/>
        <v>0</v>
      </c>
      <c r="S981">
        <f t="shared" si="170"/>
        <v>0</v>
      </c>
      <c r="T981">
        <f t="shared" si="171"/>
        <v>0</v>
      </c>
      <c r="U981">
        <f t="shared" si="172"/>
        <v>0</v>
      </c>
      <c r="V981">
        <f t="shared" si="173"/>
        <v>0</v>
      </c>
      <c r="W981">
        <f t="shared" si="174"/>
        <v>0</v>
      </c>
      <c r="X981">
        <f t="shared" si="175"/>
        <v>0</v>
      </c>
      <c r="Y981">
        <f t="shared" si="176"/>
        <v>0</v>
      </c>
      <c r="Z981">
        <f t="shared" si="177"/>
        <v>0</v>
      </c>
      <c r="AA981" t="str">
        <f>INDEX('Priority activities'!$D$5:$D$86,MATCH('Database for analysis'!C981,'Priority activities'!$C$5:$C$86,0))</f>
        <v>FP governance structure and program coordination</v>
      </c>
    </row>
    <row r="982" spans="2:27" ht="16.5" thickTop="1" thickBot="1" x14ac:dyDescent="0.3">
      <c r="B982" t="s">
        <v>727</v>
      </c>
      <c r="C982" s="22" t="str">
        <f>'Costing inputs'!$C$468</f>
        <v>Plan review - midway (SMC4.1)</v>
      </c>
      <c r="D982" s="22" t="str">
        <f>'Costing inputs'!$U$468</f>
        <v>Central level</v>
      </c>
      <c r="E982" s="22" t="str">
        <f>'Regional splits'!$F$14</f>
        <v>Luapula</v>
      </c>
      <c r="F982">
        <v>0</v>
      </c>
      <c r="G982">
        <v>0</v>
      </c>
      <c r="H982">
        <v>0</v>
      </c>
      <c r="I982">
        <v>0</v>
      </c>
      <c r="J982">
        <v>0</v>
      </c>
      <c r="K982">
        <v>0</v>
      </c>
      <c r="L982">
        <v>0</v>
      </c>
      <c r="M982">
        <v>0</v>
      </c>
      <c r="N982">
        <v>0</v>
      </c>
      <c r="O982">
        <v>0</v>
      </c>
      <c r="P982" s="5">
        <f t="shared" si="167"/>
        <v>0</v>
      </c>
      <c r="Q982">
        <f t="shared" si="168"/>
        <v>0</v>
      </c>
      <c r="R982">
        <f t="shared" si="169"/>
        <v>0</v>
      </c>
      <c r="S982">
        <f t="shared" si="170"/>
        <v>0</v>
      </c>
      <c r="T982">
        <f t="shared" si="171"/>
        <v>0</v>
      </c>
      <c r="U982">
        <f t="shared" si="172"/>
        <v>0</v>
      </c>
      <c r="V982">
        <f t="shared" si="173"/>
        <v>0</v>
      </c>
      <c r="W982">
        <f t="shared" si="174"/>
        <v>0</v>
      </c>
      <c r="X982">
        <f t="shared" si="175"/>
        <v>0</v>
      </c>
      <c r="Y982">
        <f t="shared" si="176"/>
        <v>0</v>
      </c>
      <c r="Z982">
        <f t="shared" si="177"/>
        <v>0</v>
      </c>
      <c r="AA982" t="str">
        <f>INDEX('Priority activities'!$D$5:$D$86,MATCH('Database for analysis'!C982,'Priority activities'!$C$5:$C$86,0))</f>
        <v>FP governance structure and program coordination</v>
      </c>
    </row>
    <row r="983" spans="2:27" ht="16.5" thickTop="1" thickBot="1" x14ac:dyDescent="0.3">
      <c r="B983" t="s">
        <v>727</v>
      </c>
      <c r="C983" s="22" t="str">
        <f>'Costing inputs'!$C$468</f>
        <v>Plan review - midway (SMC4.1)</v>
      </c>
      <c r="D983" s="22" t="str">
        <f>'Costing inputs'!$U$468</f>
        <v>Central level</v>
      </c>
      <c r="E983" s="22" t="str">
        <f>'Regional splits'!$G$14</f>
        <v>Lusaka</v>
      </c>
      <c r="F983">
        <v>0</v>
      </c>
      <c r="G983">
        <v>0</v>
      </c>
      <c r="H983">
        <v>0</v>
      </c>
      <c r="I983">
        <v>0</v>
      </c>
      <c r="J983">
        <v>0</v>
      </c>
      <c r="K983">
        <v>0</v>
      </c>
      <c r="L983">
        <v>0</v>
      </c>
      <c r="M983">
        <v>0</v>
      </c>
      <c r="N983">
        <v>0</v>
      </c>
      <c r="O983">
        <v>0</v>
      </c>
      <c r="P983" s="5">
        <f t="shared" si="167"/>
        <v>0</v>
      </c>
      <c r="Q983">
        <f t="shared" si="168"/>
        <v>0</v>
      </c>
      <c r="R983">
        <f t="shared" si="169"/>
        <v>0</v>
      </c>
      <c r="S983">
        <f t="shared" si="170"/>
        <v>0</v>
      </c>
      <c r="T983">
        <f t="shared" si="171"/>
        <v>0</v>
      </c>
      <c r="U983">
        <f t="shared" si="172"/>
        <v>0</v>
      </c>
      <c r="V983">
        <f t="shared" si="173"/>
        <v>0</v>
      </c>
      <c r="W983">
        <f t="shared" si="174"/>
        <v>0</v>
      </c>
      <c r="X983">
        <f t="shared" si="175"/>
        <v>0</v>
      </c>
      <c r="Y983">
        <f t="shared" si="176"/>
        <v>0</v>
      </c>
      <c r="Z983">
        <f t="shared" si="177"/>
        <v>0</v>
      </c>
      <c r="AA983" t="str">
        <f>INDEX('Priority activities'!$D$5:$D$86,MATCH('Database for analysis'!C983,'Priority activities'!$C$5:$C$86,0))</f>
        <v>FP governance structure and program coordination</v>
      </c>
    </row>
    <row r="984" spans="2:27" ht="16.5" thickTop="1" thickBot="1" x14ac:dyDescent="0.3">
      <c r="B984" t="s">
        <v>727</v>
      </c>
      <c r="C984" s="22" t="str">
        <f>'Costing inputs'!$C$468</f>
        <v>Plan review - midway (SMC4.1)</v>
      </c>
      <c r="D984" s="22" t="str">
        <f>'Costing inputs'!$U$468</f>
        <v>Central level</v>
      </c>
      <c r="E984" s="22" t="str">
        <f>'Regional splits'!$H$14</f>
        <v>Muchinga</v>
      </c>
      <c r="F984">
        <v>0</v>
      </c>
      <c r="G984">
        <v>0</v>
      </c>
      <c r="H984">
        <v>0</v>
      </c>
      <c r="I984">
        <v>0</v>
      </c>
      <c r="J984">
        <v>0</v>
      </c>
      <c r="K984">
        <v>0</v>
      </c>
      <c r="L984">
        <v>0</v>
      </c>
      <c r="M984">
        <v>0</v>
      </c>
      <c r="N984">
        <v>0</v>
      </c>
      <c r="O984">
        <v>0</v>
      </c>
      <c r="P984" s="5">
        <f t="shared" si="167"/>
        <v>0</v>
      </c>
      <c r="Q984">
        <f t="shared" si="168"/>
        <v>0</v>
      </c>
      <c r="R984">
        <f t="shared" si="169"/>
        <v>0</v>
      </c>
      <c r="S984">
        <f t="shared" si="170"/>
        <v>0</v>
      </c>
      <c r="T984">
        <f t="shared" si="171"/>
        <v>0</v>
      </c>
      <c r="U984">
        <f t="shared" si="172"/>
        <v>0</v>
      </c>
      <c r="V984">
        <f t="shared" si="173"/>
        <v>0</v>
      </c>
      <c r="W984">
        <f t="shared" si="174"/>
        <v>0</v>
      </c>
      <c r="X984">
        <f t="shared" si="175"/>
        <v>0</v>
      </c>
      <c r="Y984">
        <f t="shared" si="176"/>
        <v>0</v>
      </c>
      <c r="Z984">
        <f t="shared" si="177"/>
        <v>0</v>
      </c>
      <c r="AA984" t="str">
        <f>INDEX('Priority activities'!$D$5:$D$86,MATCH('Database for analysis'!C984,'Priority activities'!$C$5:$C$86,0))</f>
        <v>FP governance structure and program coordination</v>
      </c>
    </row>
    <row r="985" spans="2:27" ht="16.5" thickTop="1" thickBot="1" x14ac:dyDescent="0.3">
      <c r="B985" t="s">
        <v>727</v>
      </c>
      <c r="C985" s="22" t="str">
        <f>'Costing inputs'!$C$468</f>
        <v>Plan review - midway (SMC4.1)</v>
      </c>
      <c r="D985" s="22" t="str">
        <f>'Costing inputs'!$U$468</f>
        <v>Central level</v>
      </c>
      <c r="E985" s="22" t="str">
        <f>'Regional splits'!$I$14</f>
        <v>Northern</v>
      </c>
      <c r="F985">
        <v>0</v>
      </c>
      <c r="G985">
        <v>0</v>
      </c>
      <c r="H985">
        <v>0</v>
      </c>
      <c r="I985">
        <v>0</v>
      </c>
      <c r="J985">
        <v>0</v>
      </c>
      <c r="K985">
        <v>0</v>
      </c>
      <c r="L985">
        <v>0</v>
      </c>
      <c r="M985">
        <v>0</v>
      </c>
      <c r="N985">
        <v>0</v>
      </c>
      <c r="O985">
        <v>0</v>
      </c>
      <c r="P985" s="5">
        <f t="shared" si="167"/>
        <v>0</v>
      </c>
      <c r="Q985">
        <f t="shared" si="168"/>
        <v>0</v>
      </c>
      <c r="R985">
        <f t="shared" si="169"/>
        <v>0</v>
      </c>
      <c r="S985">
        <f t="shared" si="170"/>
        <v>0</v>
      </c>
      <c r="T985">
        <f t="shared" si="171"/>
        <v>0</v>
      </c>
      <c r="U985">
        <f t="shared" si="172"/>
        <v>0</v>
      </c>
      <c r="V985">
        <f t="shared" si="173"/>
        <v>0</v>
      </c>
      <c r="W985">
        <f t="shared" si="174"/>
        <v>0</v>
      </c>
      <c r="X985">
        <f t="shared" si="175"/>
        <v>0</v>
      </c>
      <c r="Y985">
        <f t="shared" si="176"/>
        <v>0</v>
      </c>
      <c r="Z985">
        <f t="shared" si="177"/>
        <v>0</v>
      </c>
      <c r="AA985" t="str">
        <f>INDEX('Priority activities'!$D$5:$D$86,MATCH('Database for analysis'!C985,'Priority activities'!$C$5:$C$86,0))</f>
        <v>FP governance structure and program coordination</v>
      </c>
    </row>
    <row r="986" spans="2:27" ht="16.5" thickTop="1" thickBot="1" x14ac:dyDescent="0.3">
      <c r="B986" t="s">
        <v>727</v>
      </c>
      <c r="C986" s="22" t="str">
        <f>'Costing inputs'!$C$468</f>
        <v>Plan review - midway (SMC4.1)</v>
      </c>
      <c r="D986" s="22" t="str">
        <f>'Costing inputs'!$U$468</f>
        <v>Central level</v>
      </c>
      <c r="E986" s="22" t="str">
        <f>'Regional splits'!$J$14</f>
        <v>North Western</v>
      </c>
      <c r="F986">
        <v>0</v>
      </c>
      <c r="G986">
        <v>0</v>
      </c>
      <c r="H986">
        <v>0</v>
      </c>
      <c r="I986">
        <v>0</v>
      </c>
      <c r="J986">
        <v>0</v>
      </c>
      <c r="K986">
        <v>0</v>
      </c>
      <c r="L986">
        <v>0</v>
      </c>
      <c r="M986">
        <v>0</v>
      </c>
      <c r="N986">
        <v>0</v>
      </c>
      <c r="O986">
        <v>0</v>
      </c>
      <c r="P986" s="5">
        <f t="shared" si="167"/>
        <v>0</v>
      </c>
      <c r="Q986">
        <f t="shared" si="168"/>
        <v>0</v>
      </c>
      <c r="R986">
        <f t="shared" si="169"/>
        <v>0</v>
      </c>
      <c r="S986">
        <f t="shared" si="170"/>
        <v>0</v>
      </c>
      <c r="T986">
        <f t="shared" si="171"/>
        <v>0</v>
      </c>
      <c r="U986">
        <f t="shared" si="172"/>
        <v>0</v>
      </c>
      <c r="V986">
        <f t="shared" si="173"/>
        <v>0</v>
      </c>
      <c r="W986">
        <f t="shared" si="174"/>
        <v>0</v>
      </c>
      <c r="X986">
        <f t="shared" si="175"/>
        <v>0</v>
      </c>
      <c r="Y986">
        <f t="shared" si="176"/>
        <v>0</v>
      </c>
      <c r="Z986">
        <f t="shared" si="177"/>
        <v>0</v>
      </c>
      <c r="AA986" t="str">
        <f>INDEX('Priority activities'!$D$5:$D$86,MATCH('Database for analysis'!C986,'Priority activities'!$C$5:$C$86,0))</f>
        <v>FP governance structure and program coordination</v>
      </c>
    </row>
    <row r="987" spans="2:27" ht="16.5" thickTop="1" thickBot="1" x14ac:dyDescent="0.3">
      <c r="B987" t="s">
        <v>727</v>
      </c>
      <c r="C987" s="22" t="str">
        <f>'Costing inputs'!$C$468</f>
        <v>Plan review - midway (SMC4.1)</v>
      </c>
      <c r="D987" s="22" t="str">
        <f>'Costing inputs'!$U$468</f>
        <v>Central level</v>
      </c>
      <c r="E987" s="22" t="str">
        <f>'Regional splits'!$K$14</f>
        <v>Southern</v>
      </c>
      <c r="F987">
        <v>0</v>
      </c>
      <c r="G987">
        <v>0</v>
      </c>
      <c r="H987">
        <v>0</v>
      </c>
      <c r="I987">
        <v>0</v>
      </c>
      <c r="J987">
        <v>0</v>
      </c>
      <c r="K987">
        <v>0</v>
      </c>
      <c r="L987">
        <v>0</v>
      </c>
      <c r="M987">
        <v>0</v>
      </c>
      <c r="N987">
        <v>0</v>
      </c>
      <c r="O987">
        <v>0</v>
      </c>
      <c r="P987" s="5">
        <f t="shared" si="167"/>
        <v>0</v>
      </c>
      <c r="Q987">
        <f t="shared" si="168"/>
        <v>0</v>
      </c>
      <c r="R987">
        <f t="shared" si="169"/>
        <v>0</v>
      </c>
      <c r="S987">
        <f t="shared" si="170"/>
        <v>0</v>
      </c>
      <c r="T987">
        <f t="shared" si="171"/>
        <v>0</v>
      </c>
      <c r="U987">
        <f t="shared" si="172"/>
        <v>0</v>
      </c>
      <c r="V987">
        <f t="shared" si="173"/>
        <v>0</v>
      </c>
      <c r="W987">
        <f t="shared" si="174"/>
        <v>0</v>
      </c>
      <c r="X987">
        <f t="shared" si="175"/>
        <v>0</v>
      </c>
      <c r="Y987">
        <f t="shared" si="176"/>
        <v>0</v>
      </c>
      <c r="Z987">
        <f t="shared" si="177"/>
        <v>0</v>
      </c>
      <c r="AA987" t="str">
        <f>INDEX('Priority activities'!$D$5:$D$86,MATCH('Database for analysis'!C987,'Priority activities'!$C$5:$C$86,0))</f>
        <v>FP governance structure and program coordination</v>
      </c>
    </row>
    <row r="988" spans="2:27" ht="16.5" thickTop="1" thickBot="1" x14ac:dyDescent="0.3">
      <c r="B988" t="s">
        <v>727</v>
      </c>
      <c r="C988" s="22" t="str">
        <f>'Costing inputs'!$C$468</f>
        <v>Plan review - midway (SMC4.1)</v>
      </c>
      <c r="D988" s="22" t="str">
        <f>'Costing inputs'!$U$468</f>
        <v>Central level</v>
      </c>
      <c r="E988" s="22" t="str">
        <f>'Regional splits'!$L$14</f>
        <v>Western</v>
      </c>
      <c r="F988">
        <v>0</v>
      </c>
      <c r="G988">
        <v>0</v>
      </c>
      <c r="H988">
        <v>0</v>
      </c>
      <c r="I988">
        <v>0</v>
      </c>
      <c r="J988">
        <v>0</v>
      </c>
      <c r="K988">
        <v>0</v>
      </c>
      <c r="L988">
        <v>0</v>
      </c>
      <c r="M988">
        <v>0</v>
      </c>
      <c r="N988">
        <v>0</v>
      </c>
      <c r="O988">
        <v>0</v>
      </c>
      <c r="P988" s="5">
        <f t="shared" si="167"/>
        <v>0</v>
      </c>
      <c r="Q988">
        <f t="shared" si="168"/>
        <v>0</v>
      </c>
      <c r="R988">
        <f t="shared" si="169"/>
        <v>0</v>
      </c>
      <c r="S988">
        <f t="shared" si="170"/>
        <v>0</v>
      </c>
      <c r="T988">
        <f t="shared" si="171"/>
        <v>0</v>
      </c>
      <c r="U988">
        <f t="shared" si="172"/>
        <v>0</v>
      </c>
      <c r="V988">
        <f t="shared" si="173"/>
        <v>0</v>
      </c>
      <c r="W988">
        <f t="shared" si="174"/>
        <v>0</v>
      </c>
      <c r="X988">
        <f t="shared" si="175"/>
        <v>0</v>
      </c>
      <c r="Y988">
        <f t="shared" si="176"/>
        <v>0</v>
      </c>
      <c r="Z988">
        <f t="shared" si="177"/>
        <v>0</v>
      </c>
      <c r="AA988" t="str">
        <f>INDEX('Priority activities'!$D$5:$D$86,MATCH('Database for analysis'!C988,'Priority activities'!$C$5:$C$86,0))</f>
        <v>FP governance structure and program coordination</v>
      </c>
    </row>
    <row r="989" spans="2:27" ht="16.5" thickTop="1" thickBot="1" x14ac:dyDescent="0.3">
      <c r="B989" t="s">
        <v>727</v>
      </c>
      <c r="C989" s="22" t="str">
        <f>'Costing inputs'!$C$468</f>
        <v>Plan review - midway (SMC4.1)</v>
      </c>
      <c r="D989" s="22" t="str">
        <f>'Costing inputs'!$U$468</f>
        <v>Central level</v>
      </c>
      <c r="E989" s="22">
        <f>'Regional splits'!$M$14</f>
        <v>0</v>
      </c>
      <c r="F989">
        <v>0</v>
      </c>
      <c r="G989">
        <v>0</v>
      </c>
      <c r="H989">
        <v>0</v>
      </c>
      <c r="I989">
        <v>0</v>
      </c>
      <c r="J989">
        <v>0</v>
      </c>
      <c r="K989">
        <v>0</v>
      </c>
      <c r="L989">
        <v>0</v>
      </c>
      <c r="M989">
        <v>0</v>
      </c>
      <c r="N989">
        <v>0</v>
      </c>
      <c r="O989">
        <v>0</v>
      </c>
      <c r="P989" s="5">
        <f t="shared" si="167"/>
        <v>0</v>
      </c>
      <c r="Q989">
        <f t="shared" si="168"/>
        <v>0</v>
      </c>
      <c r="R989">
        <f t="shared" si="169"/>
        <v>0</v>
      </c>
      <c r="S989">
        <f t="shared" si="170"/>
        <v>0</v>
      </c>
      <c r="T989">
        <f t="shared" si="171"/>
        <v>0</v>
      </c>
      <c r="U989">
        <f t="shared" si="172"/>
        <v>0</v>
      </c>
      <c r="V989">
        <f t="shared" si="173"/>
        <v>0</v>
      </c>
      <c r="W989">
        <f t="shared" si="174"/>
        <v>0</v>
      </c>
      <c r="X989">
        <f t="shared" si="175"/>
        <v>0</v>
      </c>
      <c r="Y989">
        <f t="shared" si="176"/>
        <v>0</v>
      </c>
      <c r="Z989">
        <f t="shared" si="177"/>
        <v>0</v>
      </c>
      <c r="AA989" t="str">
        <f>INDEX('Priority activities'!$D$5:$D$86,MATCH('Database for analysis'!C989,'Priority activities'!$C$5:$C$86,0))</f>
        <v>FP governance structure and program coordination</v>
      </c>
    </row>
    <row r="990" spans="2:27" ht="16.5" thickTop="1" thickBot="1" x14ac:dyDescent="0.3">
      <c r="B990" t="s">
        <v>727</v>
      </c>
      <c r="C990" s="22" t="str">
        <f>'Costing inputs'!$C$468</f>
        <v>Plan review - midway (SMC4.1)</v>
      </c>
      <c r="D990" s="22" t="str">
        <f>'Costing inputs'!$U$468</f>
        <v>Central level</v>
      </c>
      <c r="E990" s="22">
        <f>'Regional splits'!$N$14</f>
        <v>0</v>
      </c>
      <c r="F990">
        <v>0</v>
      </c>
      <c r="G990">
        <v>0</v>
      </c>
      <c r="H990">
        <v>0</v>
      </c>
      <c r="I990">
        <v>0</v>
      </c>
      <c r="J990">
        <v>0</v>
      </c>
      <c r="K990">
        <v>0</v>
      </c>
      <c r="L990">
        <v>0</v>
      </c>
      <c r="M990">
        <v>0</v>
      </c>
      <c r="N990">
        <v>0</v>
      </c>
      <c r="O990">
        <v>0</v>
      </c>
      <c r="P990" s="5">
        <f t="shared" si="167"/>
        <v>0</v>
      </c>
      <c r="Q990">
        <f t="shared" si="168"/>
        <v>0</v>
      </c>
      <c r="R990">
        <f t="shared" si="169"/>
        <v>0</v>
      </c>
      <c r="S990">
        <f t="shared" si="170"/>
        <v>0</v>
      </c>
      <c r="T990">
        <f t="shared" si="171"/>
        <v>0</v>
      </c>
      <c r="U990">
        <f t="shared" si="172"/>
        <v>0</v>
      </c>
      <c r="V990">
        <f t="shared" si="173"/>
        <v>0</v>
      </c>
      <c r="W990">
        <f t="shared" si="174"/>
        <v>0</v>
      </c>
      <c r="X990">
        <f t="shared" si="175"/>
        <v>0</v>
      </c>
      <c r="Y990">
        <f t="shared" si="176"/>
        <v>0</v>
      </c>
      <c r="Z990">
        <f t="shared" si="177"/>
        <v>0</v>
      </c>
      <c r="AA990" t="str">
        <f>INDEX('Priority activities'!$D$5:$D$86,MATCH('Database for analysis'!C990,'Priority activities'!$C$5:$C$86,0))</f>
        <v>FP governance structure and program coordination</v>
      </c>
    </row>
    <row r="991" spans="2:27" ht="16.5" thickTop="1" thickBot="1" x14ac:dyDescent="0.3">
      <c r="B991" t="s">
        <v>727</v>
      </c>
      <c r="C991" s="22" t="str">
        <f>'Costing inputs'!$C$468</f>
        <v>Plan review - midway (SMC4.1)</v>
      </c>
      <c r="D991" s="22" t="str">
        <f>'Costing inputs'!$U$468</f>
        <v>Central level</v>
      </c>
      <c r="E991" s="22">
        <f>'Regional splits'!$O$14</f>
        <v>0</v>
      </c>
      <c r="F991">
        <v>0</v>
      </c>
      <c r="G991">
        <v>0</v>
      </c>
      <c r="H991">
        <v>0</v>
      </c>
      <c r="I991">
        <v>0</v>
      </c>
      <c r="J991">
        <v>0</v>
      </c>
      <c r="K991">
        <v>0</v>
      </c>
      <c r="L991">
        <v>0</v>
      </c>
      <c r="M991">
        <v>0</v>
      </c>
      <c r="N991">
        <v>0</v>
      </c>
      <c r="O991">
        <v>0</v>
      </c>
      <c r="P991" s="5">
        <f t="shared" si="167"/>
        <v>0</v>
      </c>
      <c r="Q991">
        <f t="shared" si="168"/>
        <v>0</v>
      </c>
      <c r="R991">
        <f t="shared" si="169"/>
        <v>0</v>
      </c>
      <c r="S991">
        <f t="shared" si="170"/>
        <v>0</v>
      </c>
      <c r="T991">
        <f t="shared" si="171"/>
        <v>0</v>
      </c>
      <c r="U991">
        <f t="shared" si="172"/>
        <v>0</v>
      </c>
      <c r="V991">
        <f t="shared" si="173"/>
        <v>0</v>
      </c>
      <c r="W991">
        <f t="shared" si="174"/>
        <v>0</v>
      </c>
      <c r="X991">
        <f t="shared" si="175"/>
        <v>0</v>
      </c>
      <c r="Y991">
        <f t="shared" si="176"/>
        <v>0</v>
      </c>
      <c r="Z991">
        <f t="shared" si="177"/>
        <v>0</v>
      </c>
      <c r="AA991" t="str">
        <f>INDEX('Priority activities'!$D$5:$D$86,MATCH('Database for analysis'!C991,'Priority activities'!$C$5:$C$86,0))</f>
        <v>FP governance structure and program coordination</v>
      </c>
    </row>
    <row r="992" spans="2:27" ht="16.5" thickTop="1" thickBot="1" x14ac:dyDescent="0.3">
      <c r="B992" t="s">
        <v>727</v>
      </c>
      <c r="C992" s="22" t="str">
        <f>'Costing inputs'!$C$468</f>
        <v>Plan review - midway (SMC4.1)</v>
      </c>
      <c r="D992" s="22" t="str">
        <f>'Costing inputs'!$U$468</f>
        <v>Central level</v>
      </c>
      <c r="E992" s="22">
        <f>'Regional splits'!$P$14</f>
        <v>0</v>
      </c>
      <c r="F992">
        <v>0</v>
      </c>
      <c r="G992">
        <v>0</v>
      </c>
      <c r="H992">
        <v>0</v>
      </c>
      <c r="I992">
        <v>0</v>
      </c>
      <c r="J992">
        <v>0</v>
      </c>
      <c r="K992">
        <v>0</v>
      </c>
      <c r="L992">
        <v>0</v>
      </c>
      <c r="M992">
        <v>0</v>
      </c>
      <c r="N992">
        <v>0</v>
      </c>
      <c r="O992">
        <v>0</v>
      </c>
      <c r="P992" s="5">
        <f t="shared" si="167"/>
        <v>0</v>
      </c>
      <c r="Q992">
        <f t="shared" si="168"/>
        <v>0</v>
      </c>
      <c r="R992">
        <f t="shared" si="169"/>
        <v>0</v>
      </c>
      <c r="S992">
        <f t="shared" si="170"/>
        <v>0</v>
      </c>
      <c r="T992">
        <f t="shared" si="171"/>
        <v>0</v>
      </c>
      <c r="U992">
        <f t="shared" si="172"/>
        <v>0</v>
      </c>
      <c r="V992">
        <f t="shared" si="173"/>
        <v>0</v>
      </c>
      <c r="W992">
        <f t="shared" si="174"/>
        <v>0</v>
      </c>
      <c r="X992">
        <f t="shared" si="175"/>
        <v>0</v>
      </c>
      <c r="Y992">
        <f t="shared" si="176"/>
        <v>0</v>
      </c>
      <c r="Z992">
        <f t="shared" si="177"/>
        <v>0</v>
      </c>
      <c r="AA992" t="str">
        <f>INDEX('Priority activities'!$D$5:$D$86,MATCH('Database for analysis'!C992,'Priority activities'!$C$5:$C$86,0))</f>
        <v>FP governance structure and program coordination</v>
      </c>
    </row>
    <row r="993" spans="2:27" ht="16.5" thickTop="1" thickBot="1" x14ac:dyDescent="0.3">
      <c r="B993" t="s">
        <v>727</v>
      </c>
      <c r="C993" s="22" t="str">
        <f>'Costing inputs'!$C$468</f>
        <v>Plan review - midway (SMC4.1)</v>
      </c>
      <c r="D993" s="22" t="str">
        <f>'Costing inputs'!$U$468</f>
        <v>Central level</v>
      </c>
      <c r="E993" s="22">
        <f>'Regional splits'!$Q$14</f>
        <v>0</v>
      </c>
      <c r="F993">
        <v>0</v>
      </c>
      <c r="G993">
        <v>0</v>
      </c>
      <c r="H993">
        <v>0</v>
      </c>
      <c r="I993">
        <v>0</v>
      </c>
      <c r="J993">
        <v>0</v>
      </c>
      <c r="K993">
        <v>0</v>
      </c>
      <c r="L993">
        <v>0</v>
      </c>
      <c r="M993">
        <v>0</v>
      </c>
      <c r="N993">
        <v>0</v>
      </c>
      <c r="O993">
        <v>0</v>
      </c>
      <c r="P993" s="5">
        <f t="shared" si="167"/>
        <v>0</v>
      </c>
      <c r="Q993">
        <f t="shared" si="168"/>
        <v>0</v>
      </c>
      <c r="R993">
        <f t="shared" si="169"/>
        <v>0</v>
      </c>
      <c r="S993">
        <f t="shared" si="170"/>
        <v>0</v>
      </c>
      <c r="T993">
        <f t="shared" si="171"/>
        <v>0</v>
      </c>
      <c r="U993">
        <f t="shared" si="172"/>
        <v>0</v>
      </c>
      <c r="V993">
        <f t="shared" si="173"/>
        <v>0</v>
      </c>
      <c r="W993">
        <f t="shared" si="174"/>
        <v>0</v>
      </c>
      <c r="X993">
        <f t="shared" si="175"/>
        <v>0</v>
      </c>
      <c r="Y993">
        <f t="shared" si="176"/>
        <v>0</v>
      </c>
      <c r="Z993">
        <f t="shared" si="177"/>
        <v>0</v>
      </c>
      <c r="AA993" t="str">
        <f>INDEX('Priority activities'!$D$5:$D$86,MATCH('Database for analysis'!C993,'Priority activities'!$C$5:$C$86,0))</f>
        <v>FP governance structure and program coordination</v>
      </c>
    </row>
    <row r="994" spans="2:27" ht="16.5" thickTop="1" thickBot="1" x14ac:dyDescent="0.3">
      <c r="B994" t="s">
        <v>727</v>
      </c>
      <c r="C994" s="22" t="str">
        <f>'Costing inputs'!$C$468</f>
        <v>Plan review - midway (SMC4.1)</v>
      </c>
      <c r="D994" s="22" t="str">
        <f>'Costing inputs'!$U$468</f>
        <v>Central level</v>
      </c>
      <c r="E994" s="22" t="str">
        <f>'Regional splits'!$R$14</f>
        <v>National-level</v>
      </c>
      <c r="F994">
        <v>0</v>
      </c>
      <c r="G994">
        <v>0</v>
      </c>
      <c r="H994">
        <v>0</v>
      </c>
      <c r="I994">
        <v>0</v>
      </c>
      <c r="J994">
        <v>167832.73199999999</v>
      </c>
      <c r="K994">
        <v>0</v>
      </c>
      <c r="L994">
        <v>0</v>
      </c>
      <c r="M994">
        <v>0</v>
      </c>
      <c r="N994">
        <v>0</v>
      </c>
      <c r="O994">
        <v>0</v>
      </c>
      <c r="P994" s="5">
        <f t="shared" si="167"/>
        <v>167832.73199999999</v>
      </c>
      <c r="Q994">
        <f t="shared" si="168"/>
        <v>0</v>
      </c>
      <c r="R994">
        <f t="shared" si="169"/>
        <v>0</v>
      </c>
      <c r="S994">
        <f t="shared" si="170"/>
        <v>0</v>
      </c>
      <c r="T994">
        <f t="shared" si="171"/>
        <v>0</v>
      </c>
      <c r="U994">
        <f t="shared" si="172"/>
        <v>167832.73199999999</v>
      </c>
      <c r="V994">
        <f t="shared" si="173"/>
        <v>0</v>
      </c>
      <c r="W994">
        <f t="shared" si="174"/>
        <v>0</v>
      </c>
      <c r="X994">
        <f t="shared" si="175"/>
        <v>0</v>
      </c>
      <c r="Y994">
        <f t="shared" si="176"/>
        <v>0</v>
      </c>
      <c r="Z994">
        <f t="shared" si="177"/>
        <v>0</v>
      </c>
      <c r="AA994" t="str">
        <f>INDEX('Priority activities'!$D$5:$D$86,MATCH('Database for analysis'!C994,'Priority activities'!$C$5:$C$86,0))</f>
        <v>FP governance structure and program coordination</v>
      </c>
    </row>
    <row r="995" spans="2:27" ht="16.5" thickTop="1" thickBot="1" x14ac:dyDescent="0.3">
      <c r="B995" t="s">
        <v>727</v>
      </c>
      <c r="C995" s="22" t="str">
        <f>'Costing inputs'!$C$472</f>
        <v>Plan review - against DHS results (SMC4.2)</v>
      </c>
      <c r="D995" s="22" t="str">
        <f>'Costing inputs'!$U$472</f>
        <v>Central level</v>
      </c>
      <c r="E995" s="22" t="str">
        <f>'Regional splits'!$C$14</f>
        <v>Central</v>
      </c>
      <c r="F995">
        <f t="array" ref="F995:O1010">'Costing inputs'!S472*'Costing inputs'!AP472:AY472*TRANSPOSE('Costing inputs'!W472:AL472)</f>
        <v>0</v>
      </c>
      <c r="G995">
        <v>0</v>
      </c>
      <c r="H995">
        <v>0</v>
      </c>
      <c r="I995">
        <v>0</v>
      </c>
      <c r="J995">
        <v>0</v>
      </c>
      <c r="K995">
        <v>0</v>
      </c>
      <c r="L995">
        <v>0</v>
      </c>
      <c r="M995">
        <v>0</v>
      </c>
      <c r="N995">
        <v>0</v>
      </c>
      <c r="O995">
        <v>0</v>
      </c>
      <c r="P995" s="5">
        <f t="shared" si="167"/>
        <v>0</v>
      </c>
      <c r="Q995">
        <f t="shared" si="168"/>
        <v>0</v>
      </c>
      <c r="R995">
        <f t="shared" si="169"/>
        <v>0</v>
      </c>
      <c r="S995">
        <f t="shared" si="170"/>
        <v>0</v>
      </c>
      <c r="T995">
        <f t="shared" si="171"/>
        <v>0</v>
      </c>
      <c r="U995">
        <f t="shared" si="172"/>
        <v>0</v>
      </c>
      <c r="V995">
        <f t="shared" si="173"/>
        <v>0</v>
      </c>
      <c r="W995">
        <f t="shared" si="174"/>
        <v>0</v>
      </c>
      <c r="X995">
        <f t="shared" si="175"/>
        <v>0</v>
      </c>
      <c r="Y995">
        <f t="shared" si="176"/>
        <v>0</v>
      </c>
      <c r="Z995">
        <f t="shared" si="177"/>
        <v>0</v>
      </c>
      <c r="AA995" t="str">
        <f>INDEX('Priority activities'!$D$5:$D$86,MATCH('Database for analysis'!C995,'Priority activities'!$C$5:$C$86,0))</f>
        <v>FP governance structure and program coordination</v>
      </c>
    </row>
    <row r="996" spans="2:27" ht="16.5" thickTop="1" thickBot="1" x14ac:dyDescent="0.3">
      <c r="B996" t="s">
        <v>727</v>
      </c>
      <c r="C996" s="22" t="str">
        <f>'Costing inputs'!$C$472</f>
        <v>Plan review - against DHS results (SMC4.2)</v>
      </c>
      <c r="D996" s="22" t="str">
        <f>'Costing inputs'!$U$472</f>
        <v>Central level</v>
      </c>
      <c r="E996" s="22" t="str">
        <f>'Regional splits'!$D$14</f>
        <v>Copperbelt</v>
      </c>
      <c r="F996">
        <v>0</v>
      </c>
      <c r="G996">
        <v>0</v>
      </c>
      <c r="H996">
        <v>0</v>
      </c>
      <c r="I996">
        <v>0</v>
      </c>
      <c r="J996">
        <v>0</v>
      </c>
      <c r="K996">
        <v>0</v>
      </c>
      <c r="L996">
        <v>0</v>
      </c>
      <c r="M996">
        <v>0</v>
      </c>
      <c r="N996">
        <v>0</v>
      </c>
      <c r="O996">
        <v>0</v>
      </c>
      <c r="P996" s="5">
        <f t="shared" si="167"/>
        <v>0</v>
      </c>
      <c r="Q996">
        <f t="shared" si="168"/>
        <v>0</v>
      </c>
      <c r="R996">
        <f t="shared" si="169"/>
        <v>0</v>
      </c>
      <c r="S996">
        <f t="shared" si="170"/>
        <v>0</v>
      </c>
      <c r="T996">
        <f t="shared" si="171"/>
        <v>0</v>
      </c>
      <c r="U996">
        <f t="shared" si="172"/>
        <v>0</v>
      </c>
      <c r="V996">
        <f t="shared" si="173"/>
        <v>0</v>
      </c>
      <c r="W996">
        <f t="shared" si="174"/>
        <v>0</v>
      </c>
      <c r="X996">
        <f t="shared" si="175"/>
        <v>0</v>
      </c>
      <c r="Y996">
        <f t="shared" si="176"/>
        <v>0</v>
      </c>
      <c r="Z996">
        <f t="shared" si="177"/>
        <v>0</v>
      </c>
      <c r="AA996" t="str">
        <f>INDEX('Priority activities'!$D$5:$D$86,MATCH('Database for analysis'!C996,'Priority activities'!$C$5:$C$86,0))</f>
        <v>FP governance structure and program coordination</v>
      </c>
    </row>
    <row r="997" spans="2:27" ht="16.5" thickTop="1" thickBot="1" x14ac:dyDescent="0.3">
      <c r="B997" t="s">
        <v>727</v>
      </c>
      <c r="C997" s="22" t="str">
        <f>'Costing inputs'!$C$472</f>
        <v>Plan review - against DHS results (SMC4.2)</v>
      </c>
      <c r="D997" s="22" t="str">
        <f>'Costing inputs'!$U$472</f>
        <v>Central level</v>
      </c>
      <c r="E997" s="22" t="str">
        <f>'Regional splits'!$E$14</f>
        <v>Eastern</v>
      </c>
      <c r="F997">
        <v>0</v>
      </c>
      <c r="G997">
        <v>0</v>
      </c>
      <c r="H997">
        <v>0</v>
      </c>
      <c r="I997">
        <v>0</v>
      </c>
      <c r="J997">
        <v>0</v>
      </c>
      <c r="K997">
        <v>0</v>
      </c>
      <c r="L997">
        <v>0</v>
      </c>
      <c r="M997">
        <v>0</v>
      </c>
      <c r="N997">
        <v>0</v>
      </c>
      <c r="O997">
        <v>0</v>
      </c>
      <c r="P997" s="5">
        <f t="shared" si="167"/>
        <v>0</v>
      </c>
      <c r="Q997">
        <f t="shared" si="168"/>
        <v>0</v>
      </c>
      <c r="R997">
        <f t="shared" si="169"/>
        <v>0</v>
      </c>
      <c r="S997">
        <f t="shared" si="170"/>
        <v>0</v>
      </c>
      <c r="T997">
        <f t="shared" si="171"/>
        <v>0</v>
      </c>
      <c r="U997">
        <f t="shared" si="172"/>
        <v>0</v>
      </c>
      <c r="V997">
        <f t="shared" si="173"/>
        <v>0</v>
      </c>
      <c r="W997">
        <f t="shared" si="174"/>
        <v>0</v>
      </c>
      <c r="X997">
        <f t="shared" si="175"/>
        <v>0</v>
      </c>
      <c r="Y997">
        <f t="shared" si="176"/>
        <v>0</v>
      </c>
      <c r="Z997">
        <f t="shared" si="177"/>
        <v>0</v>
      </c>
      <c r="AA997" t="str">
        <f>INDEX('Priority activities'!$D$5:$D$86,MATCH('Database for analysis'!C997,'Priority activities'!$C$5:$C$86,0))</f>
        <v>FP governance structure and program coordination</v>
      </c>
    </row>
    <row r="998" spans="2:27" ht="16.5" thickTop="1" thickBot="1" x14ac:dyDescent="0.3">
      <c r="B998" t="s">
        <v>727</v>
      </c>
      <c r="C998" s="22" t="str">
        <f>'Costing inputs'!$C$472</f>
        <v>Plan review - against DHS results (SMC4.2)</v>
      </c>
      <c r="D998" s="22" t="str">
        <f>'Costing inputs'!$U$472</f>
        <v>Central level</v>
      </c>
      <c r="E998" s="22" t="str">
        <f>'Regional splits'!$F$14</f>
        <v>Luapula</v>
      </c>
      <c r="F998">
        <v>0</v>
      </c>
      <c r="G998">
        <v>0</v>
      </c>
      <c r="H998">
        <v>0</v>
      </c>
      <c r="I998">
        <v>0</v>
      </c>
      <c r="J998">
        <v>0</v>
      </c>
      <c r="K998">
        <v>0</v>
      </c>
      <c r="L998">
        <v>0</v>
      </c>
      <c r="M998">
        <v>0</v>
      </c>
      <c r="N998">
        <v>0</v>
      </c>
      <c r="O998">
        <v>0</v>
      </c>
      <c r="P998" s="5">
        <f t="shared" si="167"/>
        <v>0</v>
      </c>
      <c r="Q998">
        <f t="shared" si="168"/>
        <v>0</v>
      </c>
      <c r="R998">
        <f t="shared" si="169"/>
        <v>0</v>
      </c>
      <c r="S998">
        <f t="shared" si="170"/>
        <v>0</v>
      </c>
      <c r="T998">
        <f t="shared" si="171"/>
        <v>0</v>
      </c>
      <c r="U998">
        <f t="shared" si="172"/>
        <v>0</v>
      </c>
      <c r="V998">
        <f t="shared" si="173"/>
        <v>0</v>
      </c>
      <c r="W998">
        <f t="shared" si="174"/>
        <v>0</v>
      </c>
      <c r="X998">
        <f t="shared" si="175"/>
        <v>0</v>
      </c>
      <c r="Y998">
        <f t="shared" si="176"/>
        <v>0</v>
      </c>
      <c r="Z998">
        <f t="shared" si="177"/>
        <v>0</v>
      </c>
      <c r="AA998" t="str">
        <f>INDEX('Priority activities'!$D$5:$D$86,MATCH('Database for analysis'!C998,'Priority activities'!$C$5:$C$86,0))</f>
        <v>FP governance structure and program coordination</v>
      </c>
    </row>
    <row r="999" spans="2:27" ht="16.5" thickTop="1" thickBot="1" x14ac:dyDescent="0.3">
      <c r="B999" t="s">
        <v>727</v>
      </c>
      <c r="C999" s="22" t="str">
        <f>'Costing inputs'!$C$472</f>
        <v>Plan review - against DHS results (SMC4.2)</v>
      </c>
      <c r="D999" s="22" t="str">
        <f>'Costing inputs'!$U$472</f>
        <v>Central level</v>
      </c>
      <c r="E999" s="22" t="str">
        <f>'Regional splits'!$G$14</f>
        <v>Lusaka</v>
      </c>
      <c r="F999">
        <v>0</v>
      </c>
      <c r="G999">
        <v>0</v>
      </c>
      <c r="H999">
        <v>0</v>
      </c>
      <c r="I999">
        <v>0</v>
      </c>
      <c r="J999">
        <v>0</v>
      </c>
      <c r="K999">
        <v>0</v>
      </c>
      <c r="L999">
        <v>0</v>
      </c>
      <c r="M999">
        <v>0</v>
      </c>
      <c r="N999">
        <v>0</v>
      </c>
      <c r="O999">
        <v>0</v>
      </c>
      <c r="P999" s="5">
        <f t="shared" si="167"/>
        <v>0</v>
      </c>
      <c r="Q999">
        <f t="shared" si="168"/>
        <v>0</v>
      </c>
      <c r="R999">
        <f t="shared" si="169"/>
        <v>0</v>
      </c>
      <c r="S999">
        <f t="shared" si="170"/>
        <v>0</v>
      </c>
      <c r="T999">
        <f t="shared" si="171"/>
        <v>0</v>
      </c>
      <c r="U999">
        <f t="shared" si="172"/>
        <v>0</v>
      </c>
      <c r="V999">
        <f t="shared" si="173"/>
        <v>0</v>
      </c>
      <c r="W999">
        <f t="shared" si="174"/>
        <v>0</v>
      </c>
      <c r="X999">
        <f t="shared" si="175"/>
        <v>0</v>
      </c>
      <c r="Y999">
        <f t="shared" si="176"/>
        <v>0</v>
      </c>
      <c r="Z999">
        <f t="shared" si="177"/>
        <v>0</v>
      </c>
      <c r="AA999" t="str">
        <f>INDEX('Priority activities'!$D$5:$D$86,MATCH('Database for analysis'!C999,'Priority activities'!$C$5:$C$86,0))</f>
        <v>FP governance structure and program coordination</v>
      </c>
    </row>
    <row r="1000" spans="2:27" ht="16.5" thickTop="1" thickBot="1" x14ac:dyDescent="0.3">
      <c r="B1000" t="s">
        <v>727</v>
      </c>
      <c r="C1000" s="22" t="str">
        <f>'Costing inputs'!$C$472</f>
        <v>Plan review - against DHS results (SMC4.2)</v>
      </c>
      <c r="D1000" s="22" t="str">
        <f>'Costing inputs'!$U$472</f>
        <v>Central level</v>
      </c>
      <c r="E1000" s="22" t="str">
        <f>'Regional splits'!$H$14</f>
        <v>Muchinga</v>
      </c>
      <c r="F1000">
        <v>0</v>
      </c>
      <c r="G1000">
        <v>0</v>
      </c>
      <c r="H1000">
        <v>0</v>
      </c>
      <c r="I1000">
        <v>0</v>
      </c>
      <c r="J1000">
        <v>0</v>
      </c>
      <c r="K1000">
        <v>0</v>
      </c>
      <c r="L1000">
        <v>0</v>
      </c>
      <c r="M1000">
        <v>0</v>
      </c>
      <c r="N1000">
        <v>0</v>
      </c>
      <c r="O1000">
        <v>0</v>
      </c>
      <c r="P1000" s="5">
        <f t="shared" si="167"/>
        <v>0</v>
      </c>
      <c r="Q1000">
        <f t="shared" si="168"/>
        <v>0</v>
      </c>
      <c r="R1000">
        <f t="shared" si="169"/>
        <v>0</v>
      </c>
      <c r="S1000">
        <f t="shared" si="170"/>
        <v>0</v>
      </c>
      <c r="T1000">
        <f t="shared" si="171"/>
        <v>0</v>
      </c>
      <c r="U1000">
        <f t="shared" si="172"/>
        <v>0</v>
      </c>
      <c r="V1000">
        <f t="shared" si="173"/>
        <v>0</v>
      </c>
      <c r="W1000">
        <f t="shared" si="174"/>
        <v>0</v>
      </c>
      <c r="X1000">
        <f t="shared" si="175"/>
        <v>0</v>
      </c>
      <c r="Y1000">
        <f t="shared" si="176"/>
        <v>0</v>
      </c>
      <c r="Z1000">
        <f t="shared" si="177"/>
        <v>0</v>
      </c>
      <c r="AA1000" t="str">
        <f>INDEX('Priority activities'!$D$5:$D$86,MATCH('Database for analysis'!C1000,'Priority activities'!$C$5:$C$86,0))</f>
        <v>FP governance structure and program coordination</v>
      </c>
    </row>
    <row r="1001" spans="2:27" ht="16.5" thickTop="1" thickBot="1" x14ac:dyDescent="0.3">
      <c r="B1001" t="s">
        <v>727</v>
      </c>
      <c r="C1001" s="22" t="str">
        <f>'Costing inputs'!$C$472</f>
        <v>Plan review - against DHS results (SMC4.2)</v>
      </c>
      <c r="D1001" s="22" t="str">
        <f>'Costing inputs'!$U$472</f>
        <v>Central level</v>
      </c>
      <c r="E1001" s="22" t="str">
        <f>'Regional splits'!$I$14</f>
        <v>Northern</v>
      </c>
      <c r="F1001">
        <v>0</v>
      </c>
      <c r="G1001">
        <v>0</v>
      </c>
      <c r="H1001">
        <v>0</v>
      </c>
      <c r="I1001">
        <v>0</v>
      </c>
      <c r="J1001">
        <v>0</v>
      </c>
      <c r="K1001">
        <v>0</v>
      </c>
      <c r="L1001">
        <v>0</v>
      </c>
      <c r="M1001">
        <v>0</v>
      </c>
      <c r="N1001">
        <v>0</v>
      </c>
      <c r="O1001">
        <v>0</v>
      </c>
      <c r="P1001" s="5">
        <f t="shared" si="167"/>
        <v>0</v>
      </c>
      <c r="Q1001">
        <f t="shared" si="168"/>
        <v>0</v>
      </c>
      <c r="R1001">
        <f t="shared" si="169"/>
        <v>0</v>
      </c>
      <c r="S1001">
        <f t="shared" si="170"/>
        <v>0</v>
      </c>
      <c r="T1001">
        <f t="shared" si="171"/>
        <v>0</v>
      </c>
      <c r="U1001">
        <f t="shared" si="172"/>
        <v>0</v>
      </c>
      <c r="V1001">
        <f t="shared" si="173"/>
        <v>0</v>
      </c>
      <c r="W1001">
        <f t="shared" si="174"/>
        <v>0</v>
      </c>
      <c r="X1001">
        <f t="shared" si="175"/>
        <v>0</v>
      </c>
      <c r="Y1001">
        <f t="shared" si="176"/>
        <v>0</v>
      </c>
      <c r="Z1001">
        <f t="shared" si="177"/>
        <v>0</v>
      </c>
      <c r="AA1001" t="str">
        <f>INDEX('Priority activities'!$D$5:$D$86,MATCH('Database for analysis'!C1001,'Priority activities'!$C$5:$C$86,0))</f>
        <v>FP governance structure and program coordination</v>
      </c>
    </row>
    <row r="1002" spans="2:27" ht="16.5" thickTop="1" thickBot="1" x14ac:dyDescent="0.3">
      <c r="B1002" t="s">
        <v>727</v>
      </c>
      <c r="C1002" s="22" t="str">
        <f>'Costing inputs'!$C$472</f>
        <v>Plan review - against DHS results (SMC4.2)</v>
      </c>
      <c r="D1002" s="22" t="str">
        <f>'Costing inputs'!$U$472</f>
        <v>Central level</v>
      </c>
      <c r="E1002" s="22" t="str">
        <f>'Regional splits'!$J$14</f>
        <v>North Western</v>
      </c>
      <c r="F1002">
        <v>0</v>
      </c>
      <c r="G1002">
        <v>0</v>
      </c>
      <c r="H1002">
        <v>0</v>
      </c>
      <c r="I1002">
        <v>0</v>
      </c>
      <c r="J1002">
        <v>0</v>
      </c>
      <c r="K1002">
        <v>0</v>
      </c>
      <c r="L1002">
        <v>0</v>
      </c>
      <c r="M1002">
        <v>0</v>
      </c>
      <c r="N1002">
        <v>0</v>
      </c>
      <c r="O1002">
        <v>0</v>
      </c>
      <c r="P1002" s="5">
        <f t="shared" si="167"/>
        <v>0</v>
      </c>
      <c r="Q1002">
        <f t="shared" si="168"/>
        <v>0</v>
      </c>
      <c r="R1002">
        <f t="shared" si="169"/>
        <v>0</v>
      </c>
      <c r="S1002">
        <f t="shared" si="170"/>
        <v>0</v>
      </c>
      <c r="T1002">
        <f t="shared" si="171"/>
        <v>0</v>
      </c>
      <c r="U1002">
        <f t="shared" si="172"/>
        <v>0</v>
      </c>
      <c r="V1002">
        <f t="shared" si="173"/>
        <v>0</v>
      </c>
      <c r="W1002">
        <f t="shared" si="174"/>
        <v>0</v>
      </c>
      <c r="X1002">
        <f t="shared" si="175"/>
        <v>0</v>
      </c>
      <c r="Y1002">
        <f t="shared" si="176"/>
        <v>0</v>
      </c>
      <c r="Z1002">
        <f t="shared" si="177"/>
        <v>0</v>
      </c>
      <c r="AA1002" t="str">
        <f>INDEX('Priority activities'!$D$5:$D$86,MATCH('Database for analysis'!C1002,'Priority activities'!$C$5:$C$86,0))</f>
        <v>FP governance structure and program coordination</v>
      </c>
    </row>
    <row r="1003" spans="2:27" ht="16.5" thickTop="1" thickBot="1" x14ac:dyDescent="0.3">
      <c r="B1003" t="s">
        <v>727</v>
      </c>
      <c r="C1003" s="22" t="str">
        <f>'Costing inputs'!$C$472</f>
        <v>Plan review - against DHS results (SMC4.2)</v>
      </c>
      <c r="D1003" s="22" t="str">
        <f>'Costing inputs'!$U$472</f>
        <v>Central level</v>
      </c>
      <c r="E1003" s="22" t="str">
        <f>'Regional splits'!$K$14</f>
        <v>Southern</v>
      </c>
      <c r="F1003">
        <v>0</v>
      </c>
      <c r="G1003">
        <v>0</v>
      </c>
      <c r="H1003">
        <v>0</v>
      </c>
      <c r="I1003">
        <v>0</v>
      </c>
      <c r="J1003">
        <v>0</v>
      </c>
      <c r="K1003">
        <v>0</v>
      </c>
      <c r="L1003">
        <v>0</v>
      </c>
      <c r="M1003">
        <v>0</v>
      </c>
      <c r="N1003">
        <v>0</v>
      </c>
      <c r="O1003">
        <v>0</v>
      </c>
      <c r="P1003" s="5">
        <f t="shared" si="167"/>
        <v>0</v>
      </c>
      <c r="Q1003">
        <f t="shared" si="168"/>
        <v>0</v>
      </c>
      <c r="R1003">
        <f t="shared" si="169"/>
        <v>0</v>
      </c>
      <c r="S1003">
        <f t="shared" si="170"/>
        <v>0</v>
      </c>
      <c r="T1003">
        <f t="shared" si="171"/>
        <v>0</v>
      </c>
      <c r="U1003">
        <f t="shared" si="172"/>
        <v>0</v>
      </c>
      <c r="V1003">
        <f t="shared" si="173"/>
        <v>0</v>
      </c>
      <c r="W1003">
        <f t="shared" si="174"/>
        <v>0</v>
      </c>
      <c r="X1003">
        <f t="shared" si="175"/>
        <v>0</v>
      </c>
      <c r="Y1003">
        <f t="shared" si="176"/>
        <v>0</v>
      </c>
      <c r="Z1003">
        <f t="shared" si="177"/>
        <v>0</v>
      </c>
      <c r="AA1003" t="str">
        <f>INDEX('Priority activities'!$D$5:$D$86,MATCH('Database for analysis'!C1003,'Priority activities'!$C$5:$C$86,0))</f>
        <v>FP governance structure and program coordination</v>
      </c>
    </row>
    <row r="1004" spans="2:27" ht="16.5" thickTop="1" thickBot="1" x14ac:dyDescent="0.3">
      <c r="B1004" t="s">
        <v>727</v>
      </c>
      <c r="C1004" s="22" t="str">
        <f>'Costing inputs'!$C$472</f>
        <v>Plan review - against DHS results (SMC4.2)</v>
      </c>
      <c r="D1004" s="22" t="str">
        <f>'Costing inputs'!$U$472</f>
        <v>Central level</v>
      </c>
      <c r="E1004" s="22" t="str">
        <f>'Regional splits'!$L$14</f>
        <v>Western</v>
      </c>
      <c r="F1004">
        <v>0</v>
      </c>
      <c r="G1004">
        <v>0</v>
      </c>
      <c r="H1004">
        <v>0</v>
      </c>
      <c r="I1004">
        <v>0</v>
      </c>
      <c r="J1004">
        <v>0</v>
      </c>
      <c r="K1004">
        <v>0</v>
      </c>
      <c r="L1004">
        <v>0</v>
      </c>
      <c r="M1004">
        <v>0</v>
      </c>
      <c r="N1004">
        <v>0</v>
      </c>
      <c r="O1004">
        <v>0</v>
      </c>
      <c r="P1004" s="5">
        <f t="shared" si="167"/>
        <v>0</v>
      </c>
      <c r="Q1004">
        <f t="shared" si="168"/>
        <v>0</v>
      </c>
      <c r="R1004">
        <f t="shared" si="169"/>
        <v>0</v>
      </c>
      <c r="S1004">
        <f t="shared" si="170"/>
        <v>0</v>
      </c>
      <c r="T1004">
        <f t="shared" si="171"/>
        <v>0</v>
      </c>
      <c r="U1004">
        <f t="shared" si="172"/>
        <v>0</v>
      </c>
      <c r="V1004">
        <f t="shared" si="173"/>
        <v>0</v>
      </c>
      <c r="W1004">
        <f t="shared" si="174"/>
        <v>0</v>
      </c>
      <c r="X1004">
        <f t="shared" si="175"/>
        <v>0</v>
      </c>
      <c r="Y1004">
        <f t="shared" si="176"/>
        <v>0</v>
      </c>
      <c r="Z1004">
        <f t="shared" si="177"/>
        <v>0</v>
      </c>
      <c r="AA1004" t="str">
        <f>INDEX('Priority activities'!$D$5:$D$86,MATCH('Database for analysis'!C1004,'Priority activities'!$C$5:$C$86,0))</f>
        <v>FP governance structure and program coordination</v>
      </c>
    </row>
    <row r="1005" spans="2:27" ht="16.5" thickTop="1" thickBot="1" x14ac:dyDescent="0.3">
      <c r="B1005" t="s">
        <v>727</v>
      </c>
      <c r="C1005" s="22" t="str">
        <f>'Costing inputs'!$C$472</f>
        <v>Plan review - against DHS results (SMC4.2)</v>
      </c>
      <c r="D1005" s="22" t="str">
        <f>'Costing inputs'!$U$472</f>
        <v>Central level</v>
      </c>
      <c r="E1005" s="22">
        <f>'Regional splits'!$M$14</f>
        <v>0</v>
      </c>
      <c r="F1005">
        <v>0</v>
      </c>
      <c r="G1005">
        <v>0</v>
      </c>
      <c r="H1005">
        <v>0</v>
      </c>
      <c r="I1005">
        <v>0</v>
      </c>
      <c r="J1005">
        <v>0</v>
      </c>
      <c r="K1005">
        <v>0</v>
      </c>
      <c r="L1005">
        <v>0</v>
      </c>
      <c r="M1005">
        <v>0</v>
      </c>
      <c r="N1005">
        <v>0</v>
      </c>
      <c r="O1005">
        <v>0</v>
      </c>
      <c r="P1005" s="5">
        <f t="shared" si="167"/>
        <v>0</v>
      </c>
      <c r="Q1005">
        <f t="shared" si="168"/>
        <v>0</v>
      </c>
      <c r="R1005">
        <f t="shared" si="169"/>
        <v>0</v>
      </c>
      <c r="S1005">
        <f t="shared" si="170"/>
        <v>0</v>
      </c>
      <c r="T1005">
        <f t="shared" si="171"/>
        <v>0</v>
      </c>
      <c r="U1005">
        <f t="shared" si="172"/>
        <v>0</v>
      </c>
      <c r="V1005">
        <f t="shared" si="173"/>
        <v>0</v>
      </c>
      <c r="W1005">
        <f t="shared" si="174"/>
        <v>0</v>
      </c>
      <c r="X1005">
        <f t="shared" si="175"/>
        <v>0</v>
      </c>
      <c r="Y1005">
        <f t="shared" si="176"/>
        <v>0</v>
      </c>
      <c r="Z1005">
        <f t="shared" si="177"/>
        <v>0</v>
      </c>
      <c r="AA1005" t="str">
        <f>INDEX('Priority activities'!$D$5:$D$86,MATCH('Database for analysis'!C1005,'Priority activities'!$C$5:$C$86,0))</f>
        <v>FP governance structure and program coordination</v>
      </c>
    </row>
    <row r="1006" spans="2:27" ht="16.5" thickTop="1" thickBot="1" x14ac:dyDescent="0.3">
      <c r="B1006" t="s">
        <v>727</v>
      </c>
      <c r="C1006" s="22" t="str">
        <f>'Costing inputs'!$C$472</f>
        <v>Plan review - against DHS results (SMC4.2)</v>
      </c>
      <c r="D1006" s="22" t="str">
        <f>'Costing inputs'!$U$472</f>
        <v>Central level</v>
      </c>
      <c r="E1006" s="22">
        <f>'Regional splits'!$N$14</f>
        <v>0</v>
      </c>
      <c r="F1006">
        <v>0</v>
      </c>
      <c r="G1006">
        <v>0</v>
      </c>
      <c r="H1006">
        <v>0</v>
      </c>
      <c r="I1006">
        <v>0</v>
      </c>
      <c r="J1006">
        <v>0</v>
      </c>
      <c r="K1006">
        <v>0</v>
      </c>
      <c r="L1006">
        <v>0</v>
      </c>
      <c r="M1006">
        <v>0</v>
      </c>
      <c r="N1006">
        <v>0</v>
      </c>
      <c r="O1006">
        <v>0</v>
      </c>
      <c r="P1006" s="5">
        <f t="shared" si="167"/>
        <v>0</v>
      </c>
      <c r="Q1006">
        <f t="shared" si="168"/>
        <v>0</v>
      </c>
      <c r="R1006">
        <f t="shared" si="169"/>
        <v>0</v>
      </c>
      <c r="S1006">
        <f t="shared" si="170"/>
        <v>0</v>
      </c>
      <c r="T1006">
        <f t="shared" si="171"/>
        <v>0</v>
      </c>
      <c r="U1006">
        <f t="shared" si="172"/>
        <v>0</v>
      </c>
      <c r="V1006">
        <f t="shared" si="173"/>
        <v>0</v>
      </c>
      <c r="W1006">
        <f t="shared" si="174"/>
        <v>0</v>
      </c>
      <c r="X1006">
        <f t="shared" si="175"/>
        <v>0</v>
      </c>
      <c r="Y1006">
        <f t="shared" si="176"/>
        <v>0</v>
      </c>
      <c r="Z1006">
        <f t="shared" si="177"/>
        <v>0</v>
      </c>
      <c r="AA1006" t="str">
        <f>INDEX('Priority activities'!$D$5:$D$86,MATCH('Database for analysis'!C1006,'Priority activities'!$C$5:$C$86,0))</f>
        <v>FP governance structure and program coordination</v>
      </c>
    </row>
    <row r="1007" spans="2:27" ht="16.5" thickTop="1" thickBot="1" x14ac:dyDescent="0.3">
      <c r="B1007" t="s">
        <v>727</v>
      </c>
      <c r="C1007" s="22" t="str">
        <f>'Costing inputs'!$C$472</f>
        <v>Plan review - against DHS results (SMC4.2)</v>
      </c>
      <c r="D1007" s="22" t="str">
        <f>'Costing inputs'!$U$472</f>
        <v>Central level</v>
      </c>
      <c r="E1007" s="22">
        <f>'Regional splits'!$O$14</f>
        <v>0</v>
      </c>
      <c r="F1007">
        <v>0</v>
      </c>
      <c r="G1007">
        <v>0</v>
      </c>
      <c r="H1007">
        <v>0</v>
      </c>
      <c r="I1007">
        <v>0</v>
      </c>
      <c r="J1007">
        <v>0</v>
      </c>
      <c r="K1007">
        <v>0</v>
      </c>
      <c r="L1007">
        <v>0</v>
      </c>
      <c r="M1007">
        <v>0</v>
      </c>
      <c r="N1007">
        <v>0</v>
      </c>
      <c r="O1007">
        <v>0</v>
      </c>
      <c r="P1007" s="5">
        <f t="shared" si="167"/>
        <v>0</v>
      </c>
      <c r="Q1007">
        <f t="shared" si="168"/>
        <v>0</v>
      </c>
      <c r="R1007">
        <f t="shared" si="169"/>
        <v>0</v>
      </c>
      <c r="S1007">
        <f t="shared" si="170"/>
        <v>0</v>
      </c>
      <c r="T1007">
        <f t="shared" si="171"/>
        <v>0</v>
      </c>
      <c r="U1007">
        <f t="shared" si="172"/>
        <v>0</v>
      </c>
      <c r="V1007">
        <f t="shared" si="173"/>
        <v>0</v>
      </c>
      <c r="W1007">
        <f t="shared" si="174"/>
        <v>0</v>
      </c>
      <c r="X1007">
        <f t="shared" si="175"/>
        <v>0</v>
      </c>
      <c r="Y1007">
        <f t="shared" si="176"/>
        <v>0</v>
      </c>
      <c r="Z1007">
        <f t="shared" si="177"/>
        <v>0</v>
      </c>
      <c r="AA1007" t="str">
        <f>INDEX('Priority activities'!$D$5:$D$86,MATCH('Database for analysis'!C1007,'Priority activities'!$C$5:$C$86,0))</f>
        <v>FP governance structure and program coordination</v>
      </c>
    </row>
    <row r="1008" spans="2:27" ht="16.5" thickTop="1" thickBot="1" x14ac:dyDescent="0.3">
      <c r="B1008" t="s">
        <v>727</v>
      </c>
      <c r="C1008" s="22" t="str">
        <f>'Costing inputs'!$C$472</f>
        <v>Plan review - against DHS results (SMC4.2)</v>
      </c>
      <c r="D1008" s="22" t="str">
        <f>'Costing inputs'!$U$472</f>
        <v>Central level</v>
      </c>
      <c r="E1008" s="22">
        <f>'Regional splits'!$P$14</f>
        <v>0</v>
      </c>
      <c r="F1008">
        <v>0</v>
      </c>
      <c r="G1008">
        <v>0</v>
      </c>
      <c r="H1008">
        <v>0</v>
      </c>
      <c r="I1008">
        <v>0</v>
      </c>
      <c r="J1008">
        <v>0</v>
      </c>
      <c r="K1008">
        <v>0</v>
      </c>
      <c r="L1008">
        <v>0</v>
      </c>
      <c r="M1008">
        <v>0</v>
      </c>
      <c r="N1008">
        <v>0</v>
      </c>
      <c r="O1008">
        <v>0</v>
      </c>
      <c r="P1008" s="5">
        <f t="shared" si="167"/>
        <v>0</v>
      </c>
      <c r="Q1008">
        <f t="shared" si="168"/>
        <v>0</v>
      </c>
      <c r="R1008">
        <f t="shared" si="169"/>
        <v>0</v>
      </c>
      <c r="S1008">
        <f t="shared" si="170"/>
        <v>0</v>
      </c>
      <c r="T1008">
        <f t="shared" si="171"/>
        <v>0</v>
      </c>
      <c r="U1008">
        <f t="shared" si="172"/>
        <v>0</v>
      </c>
      <c r="V1008">
        <f t="shared" si="173"/>
        <v>0</v>
      </c>
      <c r="W1008">
        <f t="shared" si="174"/>
        <v>0</v>
      </c>
      <c r="X1008">
        <f t="shared" si="175"/>
        <v>0</v>
      </c>
      <c r="Y1008">
        <f t="shared" si="176"/>
        <v>0</v>
      </c>
      <c r="Z1008">
        <f t="shared" si="177"/>
        <v>0</v>
      </c>
      <c r="AA1008" t="str">
        <f>INDEX('Priority activities'!$D$5:$D$86,MATCH('Database for analysis'!C1008,'Priority activities'!$C$5:$C$86,0))</f>
        <v>FP governance structure and program coordination</v>
      </c>
    </row>
    <row r="1009" spans="2:27" ht="16.5" thickTop="1" thickBot="1" x14ac:dyDescent="0.3">
      <c r="B1009" t="s">
        <v>727</v>
      </c>
      <c r="C1009" s="22" t="str">
        <f>'Costing inputs'!$C$472</f>
        <v>Plan review - against DHS results (SMC4.2)</v>
      </c>
      <c r="D1009" s="22" t="str">
        <f>'Costing inputs'!$U$472</f>
        <v>Central level</v>
      </c>
      <c r="E1009" s="22">
        <f>'Regional splits'!$Q$14</f>
        <v>0</v>
      </c>
      <c r="F1009">
        <v>0</v>
      </c>
      <c r="G1009">
        <v>0</v>
      </c>
      <c r="H1009">
        <v>0</v>
      </c>
      <c r="I1009">
        <v>0</v>
      </c>
      <c r="J1009">
        <v>0</v>
      </c>
      <c r="K1009">
        <v>0</v>
      </c>
      <c r="L1009">
        <v>0</v>
      </c>
      <c r="M1009">
        <v>0</v>
      </c>
      <c r="N1009">
        <v>0</v>
      </c>
      <c r="O1009">
        <v>0</v>
      </c>
      <c r="P1009" s="5">
        <f t="shared" si="167"/>
        <v>0</v>
      </c>
      <c r="Q1009">
        <f t="shared" si="168"/>
        <v>0</v>
      </c>
      <c r="R1009">
        <f t="shared" si="169"/>
        <v>0</v>
      </c>
      <c r="S1009">
        <f t="shared" si="170"/>
        <v>0</v>
      </c>
      <c r="T1009">
        <f t="shared" si="171"/>
        <v>0</v>
      </c>
      <c r="U1009">
        <f t="shared" si="172"/>
        <v>0</v>
      </c>
      <c r="V1009">
        <f t="shared" si="173"/>
        <v>0</v>
      </c>
      <c r="W1009">
        <f t="shared" si="174"/>
        <v>0</v>
      </c>
      <c r="X1009">
        <f t="shared" si="175"/>
        <v>0</v>
      </c>
      <c r="Y1009">
        <f t="shared" si="176"/>
        <v>0</v>
      </c>
      <c r="Z1009">
        <f t="shared" si="177"/>
        <v>0</v>
      </c>
      <c r="AA1009" t="str">
        <f>INDEX('Priority activities'!$D$5:$D$86,MATCH('Database for analysis'!C1009,'Priority activities'!$C$5:$C$86,0))</f>
        <v>FP governance structure and program coordination</v>
      </c>
    </row>
    <row r="1010" spans="2:27" ht="16.5" thickTop="1" thickBot="1" x14ac:dyDescent="0.3">
      <c r="B1010" t="s">
        <v>727</v>
      </c>
      <c r="C1010" s="22" t="str">
        <f>'Costing inputs'!$C$472</f>
        <v>Plan review - against DHS results (SMC4.2)</v>
      </c>
      <c r="D1010" s="22" t="str">
        <f>'Costing inputs'!$U$472</f>
        <v>Central level</v>
      </c>
      <c r="E1010" s="22" t="str">
        <f>'Regional splits'!$R$14</f>
        <v>National-level</v>
      </c>
      <c r="F1010">
        <v>0</v>
      </c>
      <c r="G1010">
        <v>0</v>
      </c>
      <c r="H1010">
        <v>0</v>
      </c>
      <c r="I1010">
        <v>0</v>
      </c>
      <c r="J1010">
        <v>0</v>
      </c>
      <c r="K1010">
        <v>0</v>
      </c>
      <c r="L1010">
        <v>69842.615999999995</v>
      </c>
      <c r="M1010">
        <v>0</v>
      </c>
      <c r="N1010">
        <v>0</v>
      </c>
      <c r="O1010">
        <v>0</v>
      </c>
      <c r="P1010" s="5">
        <f t="shared" si="167"/>
        <v>69842.615999999995</v>
      </c>
      <c r="Q1010">
        <f t="shared" si="168"/>
        <v>0</v>
      </c>
      <c r="R1010">
        <f t="shared" si="169"/>
        <v>0</v>
      </c>
      <c r="S1010">
        <f t="shared" si="170"/>
        <v>0</v>
      </c>
      <c r="T1010">
        <f t="shared" si="171"/>
        <v>0</v>
      </c>
      <c r="U1010">
        <f t="shared" si="172"/>
        <v>0</v>
      </c>
      <c r="V1010">
        <f t="shared" si="173"/>
        <v>0</v>
      </c>
      <c r="W1010">
        <f t="shared" si="174"/>
        <v>69842.615999999995</v>
      </c>
      <c r="X1010">
        <f t="shared" si="175"/>
        <v>0</v>
      </c>
      <c r="Y1010">
        <f t="shared" si="176"/>
        <v>0</v>
      </c>
      <c r="Z1010">
        <f t="shared" si="177"/>
        <v>0</v>
      </c>
      <c r="AA1010" t="str">
        <f>INDEX('Priority activities'!$D$5:$D$86,MATCH('Database for analysis'!C1010,'Priority activities'!$C$5:$C$86,0))</f>
        <v>FP governance structure and program coordination</v>
      </c>
    </row>
    <row r="1011" spans="2:27" ht="16.5" thickTop="1" thickBot="1" x14ac:dyDescent="0.3">
      <c r="B1011" t="s">
        <v>727</v>
      </c>
      <c r="C1011" s="22" t="str">
        <f>'Costing inputs'!$C$476</f>
        <v>New FP division resources (SMC1.1, includes RH Logistics described in PSC4.3)</v>
      </c>
      <c r="D1011" s="22" t="str">
        <f>'Costing inputs'!$U$476</f>
        <v>Central level</v>
      </c>
      <c r="E1011" s="22" t="str">
        <f>'Regional splits'!$C$14</f>
        <v>Central</v>
      </c>
      <c r="F1011">
        <f t="array" ref="F1011:O1026">'Costing inputs'!S476*'Costing inputs'!AP476:AY476*TRANSPOSE('Costing inputs'!W476:AL476)</f>
        <v>0</v>
      </c>
      <c r="G1011">
        <v>0</v>
      </c>
      <c r="H1011">
        <v>0</v>
      </c>
      <c r="I1011">
        <v>0</v>
      </c>
      <c r="J1011">
        <v>0</v>
      </c>
      <c r="K1011">
        <v>0</v>
      </c>
      <c r="L1011">
        <v>0</v>
      </c>
      <c r="M1011">
        <v>0</v>
      </c>
      <c r="N1011">
        <v>0</v>
      </c>
      <c r="O1011">
        <v>0</v>
      </c>
      <c r="P1011" s="5">
        <f t="shared" si="167"/>
        <v>0</v>
      </c>
      <c r="Q1011">
        <f t="shared" si="168"/>
        <v>0</v>
      </c>
      <c r="R1011">
        <f t="shared" si="169"/>
        <v>0</v>
      </c>
      <c r="S1011">
        <f t="shared" si="170"/>
        <v>0</v>
      </c>
      <c r="T1011">
        <f t="shared" si="171"/>
        <v>0</v>
      </c>
      <c r="U1011">
        <f t="shared" si="172"/>
        <v>0</v>
      </c>
      <c r="V1011">
        <f t="shared" si="173"/>
        <v>0</v>
      </c>
      <c r="W1011">
        <f t="shared" si="174"/>
        <v>0</v>
      </c>
      <c r="X1011">
        <f t="shared" si="175"/>
        <v>0</v>
      </c>
      <c r="Y1011">
        <f t="shared" si="176"/>
        <v>0</v>
      </c>
      <c r="Z1011">
        <f t="shared" si="177"/>
        <v>0</v>
      </c>
      <c r="AA1011" t="str">
        <f>INDEX('Priority activities'!$D$5:$D$86,MATCH('Database for analysis'!C1011,'Priority activities'!$C$5:$C$86,0))</f>
        <v>FP governance structure and program coordination</v>
      </c>
    </row>
    <row r="1012" spans="2:27" ht="16.5" thickTop="1" thickBot="1" x14ac:dyDescent="0.3">
      <c r="B1012" t="s">
        <v>727</v>
      </c>
      <c r="C1012" s="22" t="str">
        <f>'Costing inputs'!$C$476</f>
        <v>New FP division resources (SMC1.1, includes RH Logistics described in PSC4.3)</v>
      </c>
      <c r="D1012" s="22" t="str">
        <f>'Costing inputs'!$U$476</f>
        <v>Central level</v>
      </c>
      <c r="E1012" s="22" t="str">
        <f>'Regional splits'!$D$14</f>
        <v>Copperbelt</v>
      </c>
      <c r="F1012">
        <v>0</v>
      </c>
      <c r="G1012">
        <v>0</v>
      </c>
      <c r="H1012">
        <v>0</v>
      </c>
      <c r="I1012">
        <v>0</v>
      </c>
      <c r="J1012">
        <v>0</v>
      </c>
      <c r="K1012">
        <v>0</v>
      </c>
      <c r="L1012">
        <v>0</v>
      </c>
      <c r="M1012">
        <v>0</v>
      </c>
      <c r="N1012">
        <v>0</v>
      </c>
      <c r="O1012">
        <v>0</v>
      </c>
      <c r="P1012" s="5">
        <f t="shared" si="167"/>
        <v>0</v>
      </c>
      <c r="Q1012">
        <f t="shared" si="168"/>
        <v>0</v>
      </c>
      <c r="R1012">
        <f t="shared" si="169"/>
        <v>0</v>
      </c>
      <c r="S1012">
        <f t="shared" si="170"/>
        <v>0</v>
      </c>
      <c r="T1012">
        <f t="shared" si="171"/>
        <v>0</v>
      </c>
      <c r="U1012">
        <f t="shared" si="172"/>
        <v>0</v>
      </c>
      <c r="V1012">
        <f t="shared" si="173"/>
        <v>0</v>
      </c>
      <c r="W1012">
        <f t="shared" si="174"/>
        <v>0</v>
      </c>
      <c r="X1012">
        <f t="shared" si="175"/>
        <v>0</v>
      </c>
      <c r="Y1012">
        <f t="shared" si="176"/>
        <v>0</v>
      </c>
      <c r="Z1012">
        <f t="shared" si="177"/>
        <v>0</v>
      </c>
      <c r="AA1012" t="str">
        <f>INDEX('Priority activities'!$D$5:$D$86,MATCH('Database for analysis'!C1012,'Priority activities'!$C$5:$C$86,0))</f>
        <v>FP governance structure and program coordination</v>
      </c>
    </row>
    <row r="1013" spans="2:27" ht="16.5" thickTop="1" thickBot="1" x14ac:dyDescent="0.3">
      <c r="B1013" t="s">
        <v>727</v>
      </c>
      <c r="C1013" s="22" t="str">
        <f>'Costing inputs'!$C$476</f>
        <v>New FP division resources (SMC1.1, includes RH Logistics described in PSC4.3)</v>
      </c>
      <c r="D1013" s="22" t="str">
        <f>'Costing inputs'!$U$476</f>
        <v>Central level</v>
      </c>
      <c r="E1013" s="22" t="str">
        <f>'Regional splits'!$E$14</f>
        <v>Eastern</v>
      </c>
      <c r="F1013">
        <v>0</v>
      </c>
      <c r="G1013">
        <v>0</v>
      </c>
      <c r="H1013">
        <v>0</v>
      </c>
      <c r="I1013">
        <v>0</v>
      </c>
      <c r="J1013">
        <v>0</v>
      </c>
      <c r="K1013">
        <v>0</v>
      </c>
      <c r="L1013">
        <v>0</v>
      </c>
      <c r="M1013">
        <v>0</v>
      </c>
      <c r="N1013">
        <v>0</v>
      </c>
      <c r="O1013">
        <v>0</v>
      </c>
      <c r="P1013" s="5">
        <f t="shared" si="167"/>
        <v>0</v>
      </c>
      <c r="Q1013">
        <f t="shared" si="168"/>
        <v>0</v>
      </c>
      <c r="R1013">
        <f t="shared" si="169"/>
        <v>0</v>
      </c>
      <c r="S1013">
        <f t="shared" si="170"/>
        <v>0</v>
      </c>
      <c r="T1013">
        <f t="shared" si="171"/>
        <v>0</v>
      </c>
      <c r="U1013">
        <f t="shared" si="172"/>
        <v>0</v>
      </c>
      <c r="V1013">
        <f t="shared" si="173"/>
        <v>0</v>
      </c>
      <c r="W1013">
        <f t="shared" si="174"/>
        <v>0</v>
      </c>
      <c r="X1013">
        <f t="shared" si="175"/>
        <v>0</v>
      </c>
      <c r="Y1013">
        <f t="shared" si="176"/>
        <v>0</v>
      </c>
      <c r="Z1013">
        <f t="shared" si="177"/>
        <v>0</v>
      </c>
      <c r="AA1013" t="str">
        <f>INDEX('Priority activities'!$D$5:$D$86,MATCH('Database for analysis'!C1013,'Priority activities'!$C$5:$C$86,0))</f>
        <v>FP governance structure and program coordination</v>
      </c>
    </row>
    <row r="1014" spans="2:27" ht="16.5" thickTop="1" thickBot="1" x14ac:dyDescent="0.3">
      <c r="B1014" t="s">
        <v>727</v>
      </c>
      <c r="C1014" s="22" t="str">
        <f>'Costing inputs'!$C$476</f>
        <v>New FP division resources (SMC1.1, includes RH Logistics described in PSC4.3)</v>
      </c>
      <c r="D1014" s="22" t="str">
        <f>'Costing inputs'!$U$476</f>
        <v>Central level</v>
      </c>
      <c r="E1014" s="22" t="str">
        <f>'Regional splits'!$F$14</f>
        <v>Luapula</v>
      </c>
      <c r="F1014">
        <v>0</v>
      </c>
      <c r="G1014">
        <v>0</v>
      </c>
      <c r="H1014">
        <v>0</v>
      </c>
      <c r="I1014">
        <v>0</v>
      </c>
      <c r="J1014">
        <v>0</v>
      </c>
      <c r="K1014">
        <v>0</v>
      </c>
      <c r="L1014">
        <v>0</v>
      </c>
      <c r="M1014">
        <v>0</v>
      </c>
      <c r="N1014">
        <v>0</v>
      </c>
      <c r="O1014">
        <v>0</v>
      </c>
      <c r="P1014" s="5">
        <f t="shared" si="167"/>
        <v>0</v>
      </c>
      <c r="Q1014">
        <f t="shared" si="168"/>
        <v>0</v>
      </c>
      <c r="R1014">
        <f t="shared" si="169"/>
        <v>0</v>
      </c>
      <c r="S1014">
        <f t="shared" si="170"/>
        <v>0</v>
      </c>
      <c r="T1014">
        <f t="shared" si="171"/>
        <v>0</v>
      </c>
      <c r="U1014">
        <f t="shared" si="172"/>
        <v>0</v>
      </c>
      <c r="V1014">
        <f t="shared" si="173"/>
        <v>0</v>
      </c>
      <c r="W1014">
        <f t="shared" si="174"/>
        <v>0</v>
      </c>
      <c r="X1014">
        <f t="shared" si="175"/>
        <v>0</v>
      </c>
      <c r="Y1014">
        <f t="shared" si="176"/>
        <v>0</v>
      </c>
      <c r="Z1014">
        <f t="shared" si="177"/>
        <v>0</v>
      </c>
      <c r="AA1014" t="str">
        <f>INDEX('Priority activities'!$D$5:$D$86,MATCH('Database for analysis'!C1014,'Priority activities'!$C$5:$C$86,0))</f>
        <v>FP governance structure and program coordination</v>
      </c>
    </row>
    <row r="1015" spans="2:27" ht="16.5" thickTop="1" thickBot="1" x14ac:dyDescent="0.3">
      <c r="B1015" t="s">
        <v>727</v>
      </c>
      <c r="C1015" s="22" t="str">
        <f>'Costing inputs'!$C$476</f>
        <v>New FP division resources (SMC1.1, includes RH Logistics described in PSC4.3)</v>
      </c>
      <c r="D1015" s="22" t="str">
        <f>'Costing inputs'!$U$476</f>
        <v>Central level</v>
      </c>
      <c r="E1015" s="22" t="str">
        <f>'Regional splits'!$G$14</f>
        <v>Lusaka</v>
      </c>
      <c r="F1015">
        <v>0</v>
      </c>
      <c r="G1015">
        <v>0</v>
      </c>
      <c r="H1015">
        <v>0</v>
      </c>
      <c r="I1015">
        <v>0</v>
      </c>
      <c r="J1015">
        <v>0</v>
      </c>
      <c r="K1015">
        <v>0</v>
      </c>
      <c r="L1015">
        <v>0</v>
      </c>
      <c r="M1015">
        <v>0</v>
      </c>
      <c r="N1015">
        <v>0</v>
      </c>
      <c r="O1015">
        <v>0</v>
      </c>
      <c r="P1015" s="5">
        <f t="shared" si="167"/>
        <v>0</v>
      </c>
      <c r="Q1015">
        <f t="shared" si="168"/>
        <v>0</v>
      </c>
      <c r="R1015">
        <f t="shared" si="169"/>
        <v>0</v>
      </c>
      <c r="S1015">
        <f t="shared" si="170"/>
        <v>0</v>
      </c>
      <c r="T1015">
        <f t="shared" si="171"/>
        <v>0</v>
      </c>
      <c r="U1015">
        <f t="shared" si="172"/>
        <v>0</v>
      </c>
      <c r="V1015">
        <f t="shared" si="173"/>
        <v>0</v>
      </c>
      <c r="W1015">
        <f t="shared" si="174"/>
        <v>0</v>
      </c>
      <c r="X1015">
        <f t="shared" si="175"/>
        <v>0</v>
      </c>
      <c r="Y1015">
        <f t="shared" si="176"/>
        <v>0</v>
      </c>
      <c r="Z1015">
        <f t="shared" si="177"/>
        <v>0</v>
      </c>
      <c r="AA1015" t="str">
        <f>INDEX('Priority activities'!$D$5:$D$86,MATCH('Database for analysis'!C1015,'Priority activities'!$C$5:$C$86,0))</f>
        <v>FP governance structure and program coordination</v>
      </c>
    </row>
    <row r="1016" spans="2:27" ht="16.5" thickTop="1" thickBot="1" x14ac:dyDescent="0.3">
      <c r="B1016" t="s">
        <v>727</v>
      </c>
      <c r="C1016" s="22" t="str">
        <f>'Costing inputs'!$C$476</f>
        <v>New FP division resources (SMC1.1, includes RH Logistics described in PSC4.3)</v>
      </c>
      <c r="D1016" s="22" t="str">
        <f>'Costing inputs'!$U$476</f>
        <v>Central level</v>
      </c>
      <c r="E1016" s="22" t="str">
        <f>'Regional splits'!$H$14</f>
        <v>Muchinga</v>
      </c>
      <c r="F1016">
        <v>0</v>
      </c>
      <c r="G1016">
        <v>0</v>
      </c>
      <c r="H1016">
        <v>0</v>
      </c>
      <c r="I1016">
        <v>0</v>
      </c>
      <c r="J1016">
        <v>0</v>
      </c>
      <c r="K1016">
        <v>0</v>
      </c>
      <c r="L1016">
        <v>0</v>
      </c>
      <c r="M1016">
        <v>0</v>
      </c>
      <c r="N1016">
        <v>0</v>
      </c>
      <c r="O1016">
        <v>0</v>
      </c>
      <c r="P1016" s="5">
        <f t="shared" si="167"/>
        <v>0</v>
      </c>
      <c r="Q1016">
        <f t="shared" si="168"/>
        <v>0</v>
      </c>
      <c r="R1016">
        <f t="shared" si="169"/>
        <v>0</v>
      </c>
      <c r="S1016">
        <f t="shared" si="170"/>
        <v>0</v>
      </c>
      <c r="T1016">
        <f t="shared" si="171"/>
        <v>0</v>
      </c>
      <c r="U1016">
        <f t="shared" si="172"/>
        <v>0</v>
      </c>
      <c r="V1016">
        <f t="shared" si="173"/>
        <v>0</v>
      </c>
      <c r="W1016">
        <f t="shared" si="174"/>
        <v>0</v>
      </c>
      <c r="X1016">
        <f t="shared" si="175"/>
        <v>0</v>
      </c>
      <c r="Y1016">
        <f t="shared" si="176"/>
        <v>0</v>
      </c>
      <c r="Z1016">
        <f t="shared" si="177"/>
        <v>0</v>
      </c>
      <c r="AA1016" t="str">
        <f>INDEX('Priority activities'!$D$5:$D$86,MATCH('Database for analysis'!C1016,'Priority activities'!$C$5:$C$86,0))</f>
        <v>FP governance structure and program coordination</v>
      </c>
    </row>
    <row r="1017" spans="2:27" ht="16.5" thickTop="1" thickBot="1" x14ac:dyDescent="0.3">
      <c r="B1017" t="s">
        <v>727</v>
      </c>
      <c r="C1017" s="22" t="str">
        <f>'Costing inputs'!$C$476</f>
        <v>New FP division resources (SMC1.1, includes RH Logistics described in PSC4.3)</v>
      </c>
      <c r="D1017" s="22" t="str">
        <f>'Costing inputs'!$U$476</f>
        <v>Central level</v>
      </c>
      <c r="E1017" s="22" t="str">
        <f>'Regional splits'!$I$14</f>
        <v>Northern</v>
      </c>
      <c r="F1017">
        <v>0</v>
      </c>
      <c r="G1017">
        <v>0</v>
      </c>
      <c r="H1017">
        <v>0</v>
      </c>
      <c r="I1017">
        <v>0</v>
      </c>
      <c r="J1017">
        <v>0</v>
      </c>
      <c r="K1017">
        <v>0</v>
      </c>
      <c r="L1017">
        <v>0</v>
      </c>
      <c r="M1017">
        <v>0</v>
      </c>
      <c r="N1017">
        <v>0</v>
      </c>
      <c r="O1017">
        <v>0</v>
      </c>
      <c r="P1017" s="5">
        <f t="shared" si="167"/>
        <v>0</v>
      </c>
      <c r="Q1017">
        <f t="shared" si="168"/>
        <v>0</v>
      </c>
      <c r="R1017">
        <f t="shared" si="169"/>
        <v>0</v>
      </c>
      <c r="S1017">
        <f t="shared" si="170"/>
        <v>0</v>
      </c>
      <c r="T1017">
        <f t="shared" si="171"/>
        <v>0</v>
      </c>
      <c r="U1017">
        <f t="shared" si="172"/>
        <v>0</v>
      </c>
      <c r="V1017">
        <f t="shared" si="173"/>
        <v>0</v>
      </c>
      <c r="W1017">
        <f t="shared" si="174"/>
        <v>0</v>
      </c>
      <c r="X1017">
        <f t="shared" si="175"/>
        <v>0</v>
      </c>
      <c r="Y1017">
        <f t="shared" si="176"/>
        <v>0</v>
      </c>
      <c r="Z1017">
        <f t="shared" si="177"/>
        <v>0</v>
      </c>
      <c r="AA1017" t="str">
        <f>INDEX('Priority activities'!$D$5:$D$86,MATCH('Database for analysis'!C1017,'Priority activities'!$C$5:$C$86,0))</f>
        <v>FP governance structure and program coordination</v>
      </c>
    </row>
    <row r="1018" spans="2:27" ht="16.5" thickTop="1" thickBot="1" x14ac:dyDescent="0.3">
      <c r="B1018" t="s">
        <v>727</v>
      </c>
      <c r="C1018" s="22" t="str">
        <f>'Costing inputs'!$C$476</f>
        <v>New FP division resources (SMC1.1, includes RH Logistics described in PSC4.3)</v>
      </c>
      <c r="D1018" s="22" t="str">
        <f>'Costing inputs'!$U$476</f>
        <v>Central level</v>
      </c>
      <c r="E1018" s="22" t="str">
        <f>'Regional splits'!$J$14</f>
        <v>North Western</v>
      </c>
      <c r="F1018">
        <v>0</v>
      </c>
      <c r="G1018">
        <v>0</v>
      </c>
      <c r="H1018">
        <v>0</v>
      </c>
      <c r="I1018">
        <v>0</v>
      </c>
      <c r="J1018">
        <v>0</v>
      </c>
      <c r="K1018">
        <v>0</v>
      </c>
      <c r="L1018">
        <v>0</v>
      </c>
      <c r="M1018">
        <v>0</v>
      </c>
      <c r="N1018">
        <v>0</v>
      </c>
      <c r="O1018">
        <v>0</v>
      </c>
      <c r="P1018" s="5">
        <f t="shared" si="167"/>
        <v>0</v>
      </c>
      <c r="Q1018">
        <f t="shared" si="168"/>
        <v>0</v>
      </c>
      <c r="R1018">
        <f t="shared" si="169"/>
        <v>0</v>
      </c>
      <c r="S1018">
        <f t="shared" si="170"/>
        <v>0</v>
      </c>
      <c r="T1018">
        <f t="shared" si="171"/>
        <v>0</v>
      </c>
      <c r="U1018">
        <f t="shared" si="172"/>
        <v>0</v>
      </c>
      <c r="V1018">
        <f t="shared" si="173"/>
        <v>0</v>
      </c>
      <c r="W1018">
        <f t="shared" si="174"/>
        <v>0</v>
      </c>
      <c r="X1018">
        <f t="shared" si="175"/>
        <v>0</v>
      </c>
      <c r="Y1018">
        <f t="shared" si="176"/>
        <v>0</v>
      </c>
      <c r="Z1018">
        <f t="shared" si="177"/>
        <v>0</v>
      </c>
      <c r="AA1018" t="str">
        <f>INDEX('Priority activities'!$D$5:$D$86,MATCH('Database for analysis'!C1018,'Priority activities'!$C$5:$C$86,0))</f>
        <v>FP governance structure and program coordination</v>
      </c>
    </row>
    <row r="1019" spans="2:27" ht="16.5" thickTop="1" thickBot="1" x14ac:dyDescent="0.3">
      <c r="B1019" t="s">
        <v>727</v>
      </c>
      <c r="C1019" s="22" t="str">
        <f>'Costing inputs'!$C$476</f>
        <v>New FP division resources (SMC1.1, includes RH Logistics described in PSC4.3)</v>
      </c>
      <c r="D1019" s="22" t="str">
        <f>'Costing inputs'!$U$476</f>
        <v>Central level</v>
      </c>
      <c r="E1019" s="22" t="str">
        <f>'Regional splits'!$K$14</f>
        <v>Southern</v>
      </c>
      <c r="F1019">
        <v>0</v>
      </c>
      <c r="G1019">
        <v>0</v>
      </c>
      <c r="H1019">
        <v>0</v>
      </c>
      <c r="I1019">
        <v>0</v>
      </c>
      <c r="J1019">
        <v>0</v>
      </c>
      <c r="K1019">
        <v>0</v>
      </c>
      <c r="L1019">
        <v>0</v>
      </c>
      <c r="M1019">
        <v>0</v>
      </c>
      <c r="N1019">
        <v>0</v>
      </c>
      <c r="O1019">
        <v>0</v>
      </c>
      <c r="P1019" s="5">
        <f t="shared" si="167"/>
        <v>0</v>
      </c>
      <c r="Q1019">
        <f t="shared" si="168"/>
        <v>0</v>
      </c>
      <c r="R1019">
        <f t="shared" si="169"/>
        <v>0</v>
      </c>
      <c r="S1019">
        <f t="shared" si="170"/>
        <v>0</v>
      </c>
      <c r="T1019">
        <f t="shared" si="171"/>
        <v>0</v>
      </c>
      <c r="U1019">
        <f t="shared" si="172"/>
        <v>0</v>
      </c>
      <c r="V1019">
        <f t="shared" si="173"/>
        <v>0</v>
      </c>
      <c r="W1019">
        <f t="shared" si="174"/>
        <v>0</v>
      </c>
      <c r="X1019">
        <f t="shared" si="175"/>
        <v>0</v>
      </c>
      <c r="Y1019">
        <f t="shared" si="176"/>
        <v>0</v>
      </c>
      <c r="Z1019">
        <f t="shared" si="177"/>
        <v>0</v>
      </c>
      <c r="AA1019" t="str">
        <f>INDEX('Priority activities'!$D$5:$D$86,MATCH('Database for analysis'!C1019,'Priority activities'!$C$5:$C$86,0))</f>
        <v>FP governance structure and program coordination</v>
      </c>
    </row>
    <row r="1020" spans="2:27" ht="16.5" thickTop="1" thickBot="1" x14ac:dyDescent="0.3">
      <c r="B1020" t="s">
        <v>727</v>
      </c>
      <c r="C1020" s="22" t="str">
        <f>'Costing inputs'!$C$476</f>
        <v>New FP division resources (SMC1.1, includes RH Logistics described in PSC4.3)</v>
      </c>
      <c r="D1020" s="22" t="str">
        <f>'Costing inputs'!$U$476</f>
        <v>Central level</v>
      </c>
      <c r="E1020" s="22" t="str">
        <f>'Regional splits'!$L$14</f>
        <v>Western</v>
      </c>
      <c r="F1020">
        <v>0</v>
      </c>
      <c r="G1020">
        <v>0</v>
      </c>
      <c r="H1020">
        <v>0</v>
      </c>
      <c r="I1020">
        <v>0</v>
      </c>
      <c r="J1020">
        <v>0</v>
      </c>
      <c r="K1020">
        <v>0</v>
      </c>
      <c r="L1020">
        <v>0</v>
      </c>
      <c r="M1020">
        <v>0</v>
      </c>
      <c r="N1020">
        <v>0</v>
      </c>
      <c r="O1020">
        <v>0</v>
      </c>
      <c r="P1020" s="5">
        <f t="shared" si="167"/>
        <v>0</v>
      </c>
      <c r="Q1020">
        <f t="shared" si="168"/>
        <v>0</v>
      </c>
      <c r="R1020">
        <f t="shared" si="169"/>
        <v>0</v>
      </c>
      <c r="S1020">
        <f t="shared" si="170"/>
        <v>0</v>
      </c>
      <c r="T1020">
        <f t="shared" si="171"/>
        <v>0</v>
      </c>
      <c r="U1020">
        <f t="shared" si="172"/>
        <v>0</v>
      </c>
      <c r="V1020">
        <f t="shared" si="173"/>
        <v>0</v>
      </c>
      <c r="W1020">
        <f t="shared" si="174"/>
        <v>0</v>
      </c>
      <c r="X1020">
        <f t="shared" si="175"/>
        <v>0</v>
      </c>
      <c r="Y1020">
        <f t="shared" si="176"/>
        <v>0</v>
      </c>
      <c r="Z1020">
        <f t="shared" si="177"/>
        <v>0</v>
      </c>
      <c r="AA1020" t="str">
        <f>INDEX('Priority activities'!$D$5:$D$86,MATCH('Database for analysis'!C1020,'Priority activities'!$C$5:$C$86,0))</f>
        <v>FP governance structure and program coordination</v>
      </c>
    </row>
    <row r="1021" spans="2:27" ht="16.5" thickTop="1" thickBot="1" x14ac:dyDescent="0.3">
      <c r="B1021" t="s">
        <v>727</v>
      </c>
      <c r="C1021" s="22" t="str">
        <f>'Costing inputs'!$C$476</f>
        <v>New FP division resources (SMC1.1, includes RH Logistics described in PSC4.3)</v>
      </c>
      <c r="D1021" s="22" t="str">
        <f>'Costing inputs'!$U$476</f>
        <v>Central level</v>
      </c>
      <c r="E1021" s="22">
        <f>'Regional splits'!$M$14</f>
        <v>0</v>
      </c>
      <c r="F1021">
        <v>0</v>
      </c>
      <c r="G1021">
        <v>0</v>
      </c>
      <c r="H1021">
        <v>0</v>
      </c>
      <c r="I1021">
        <v>0</v>
      </c>
      <c r="J1021">
        <v>0</v>
      </c>
      <c r="K1021">
        <v>0</v>
      </c>
      <c r="L1021">
        <v>0</v>
      </c>
      <c r="M1021">
        <v>0</v>
      </c>
      <c r="N1021">
        <v>0</v>
      </c>
      <c r="O1021">
        <v>0</v>
      </c>
      <c r="P1021" s="5">
        <f t="shared" si="167"/>
        <v>0</v>
      </c>
      <c r="Q1021">
        <f t="shared" si="168"/>
        <v>0</v>
      </c>
      <c r="R1021">
        <f t="shared" si="169"/>
        <v>0</v>
      </c>
      <c r="S1021">
        <f t="shared" si="170"/>
        <v>0</v>
      </c>
      <c r="T1021">
        <f t="shared" si="171"/>
        <v>0</v>
      </c>
      <c r="U1021">
        <f t="shared" si="172"/>
        <v>0</v>
      </c>
      <c r="V1021">
        <f t="shared" si="173"/>
        <v>0</v>
      </c>
      <c r="W1021">
        <f t="shared" si="174"/>
        <v>0</v>
      </c>
      <c r="X1021">
        <f t="shared" si="175"/>
        <v>0</v>
      </c>
      <c r="Y1021">
        <f t="shared" si="176"/>
        <v>0</v>
      </c>
      <c r="Z1021">
        <f t="shared" si="177"/>
        <v>0</v>
      </c>
      <c r="AA1021" t="str">
        <f>INDEX('Priority activities'!$D$5:$D$86,MATCH('Database for analysis'!C1021,'Priority activities'!$C$5:$C$86,0))</f>
        <v>FP governance structure and program coordination</v>
      </c>
    </row>
    <row r="1022" spans="2:27" ht="16.5" thickTop="1" thickBot="1" x14ac:dyDescent="0.3">
      <c r="B1022" t="s">
        <v>727</v>
      </c>
      <c r="C1022" s="22" t="str">
        <f>'Costing inputs'!$C$476</f>
        <v>New FP division resources (SMC1.1, includes RH Logistics described in PSC4.3)</v>
      </c>
      <c r="D1022" s="22" t="str">
        <f>'Costing inputs'!$U$476</f>
        <v>Central level</v>
      </c>
      <c r="E1022" s="22">
        <f>'Regional splits'!$N$14</f>
        <v>0</v>
      </c>
      <c r="F1022">
        <v>0</v>
      </c>
      <c r="G1022">
        <v>0</v>
      </c>
      <c r="H1022">
        <v>0</v>
      </c>
      <c r="I1022">
        <v>0</v>
      </c>
      <c r="J1022">
        <v>0</v>
      </c>
      <c r="K1022">
        <v>0</v>
      </c>
      <c r="L1022">
        <v>0</v>
      </c>
      <c r="M1022">
        <v>0</v>
      </c>
      <c r="N1022">
        <v>0</v>
      </c>
      <c r="O1022">
        <v>0</v>
      </c>
      <c r="P1022" s="5">
        <f t="shared" si="167"/>
        <v>0</v>
      </c>
      <c r="Q1022">
        <f t="shared" si="168"/>
        <v>0</v>
      </c>
      <c r="R1022">
        <f t="shared" si="169"/>
        <v>0</v>
      </c>
      <c r="S1022">
        <f t="shared" si="170"/>
        <v>0</v>
      </c>
      <c r="T1022">
        <f t="shared" si="171"/>
        <v>0</v>
      </c>
      <c r="U1022">
        <f t="shared" si="172"/>
        <v>0</v>
      </c>
      <c r="V1022">
        <f t="shared" si="173"/>
        <v>0</v>
      </c>
      <c r="W1022">
        <f t="shared" si="174"/>
        <v>0</v>
      </c>
      <c r="X1022">
        <f t="shared" si="175"/>
        <v>0</v>
      </c>
      <c r="Y1022">
        <f t="shared" si="176"/>
        <v>0</v>
      </c>
      <c r="Z1022">
        <f t="shared" si="177"/>
        <v>0</v>
      </c>
      <c r="AA1022" t="str">
        <f>INDEX('Priority activities'!$D$5:$D$86,MATCH('Database for analysis'!C1022,'Priority activities'!$C$5:$C$86,0))</f>
        <v>FP governance structure and program coordination</v>
      </c>
    </row>
    <row r="1023" spans="2:27" ht="16.5" thickTop="1" thickBot="1" x14ac:dyDescent="0.3">
      <c r="B1023" t="s">
        <v>727</v>
      </c>
      <c r="C1023" s="22" t="str">
        <f>'Costing inputs'!$C$476</f>
        <v>New FP division resources (SMC1.1, includes RH Logistics described in PSC4.3)</v>
      </c>
      <c r="D1023" s="22" t="str">
        <f>'Costing inputs'!$U$476</f>
        <v>Central level</v>
      </c>
      <c r="E1023" s="22">
        <f>'Regional splits'!$O$14</f>
        <v>0</v>
      </c>
      <c r="F1023">
        <v>0</v>
      </c>
      <c r="G1023">
        <v>0</v>
      </c>
      <c r="H1023">
        <v>0</v>
      </c>
      <c r="I1023">
        <v>0</v>
      </c>
      <c r="J1023">
        <v>0</v>
      </c>
      <c r="K1023">
        <v>0</v>
      </c>
      <c r="L1023">
        <v>0</v>
      </c>
      <c r="M1023">
        <v>0</v>
      </c>
      <c r="N1023">
        <v>0</v>
      </c>
      <c r="O1023">
        <v>0</v>
      </c>
      <c r="P1023" s="5">
        <f t="shared" si="167"/>
        <v>0</v>
      </c>
      <c r="Q1023">
        <f t="shared" si="168"/>
        <v>0</v>
      </c>
      <c r="R1023">
        <f t="shared" si="169"/>
        <v>0</v>
      </c>
      <c r="S1023">
        <f t="shared" si="170"/>
        <v>0</v>
      </c>
      <c r="T1023">
        <f t="shared" si="171"/>
        <v>0</v>
      </c>
      <c r="U1023">
        <f t="shared" si="172"/>
        <v>0</v>
      </c>
      <c r="V1023">
        <f t="shared" si="173"/>
        <v>0</v>
      </c>
      <c r="W1023">
        <f t="shared" si="174"/>
        <v>0</v>
      </c>
      <c r="X1023">
        <f t="shared" si="175"/>
        <v>0</v>
      </c>
      <c r="Y1023">
        <f t="shared" si="176"/>
        <v>0</v>
      </c>
      <c r="Z1023">
        <f t="shared" si="177"/>
        <v>0</v>
      </c>
      <c r="AA1023" t="str">
        <f>INDEX('Priority activities'!$D$5:$D$86,MATCH('Database for analysis'!C1023,'Priority activities'!$C$5:$C$86,0))</f>
        <v>FP governance structure and program coordination</v>
      </c>
    </row>
    <row r="1024" spans="2:27" ht="16.5" thickTop="1" thickBot="1" x14ac:dyDescent="0.3">
      <c r="B1024" t="s">
        <v>727</v>
      </c>
      <c r="C1024" s="22" t="str">
        <f>'Costing inputs'!$C$476</f>
        <v>New FP division resources (SMC1.1, includes RH Logistics described in PSC4.3)</v>
      </c>
      <c r="D1024" s="22" t="str">
        <f>'Costing inputs'!$U$476</f>
        <v>Central level</v>
      </c>
      <c r="E1024" s="22">
        <f>'Regional splits'!$P$14</f>
        <v>0</v>
      </c>
      <c r="F1024">
        <v>0</v>
      </c>
      <c r="G1024">
        <v>0</v>
      </c>
      <c r="H1024">
        <v>0</v>
      </c>
      <c r="I1024">
        <v>0</v>
      </c>
      <c r="J1024">
        <v>0</v>
      </c>
      <c r="K1024">
        <v>0</v>
      </c>
      <c r="L1024">
        <v>0</v>
      </c>
      <c r="M1024">
        <v>0</v>
      </c>
      <c r="N1024">
        <v>0</v>
      </c>
      <c r="O1024">
        <v>0</v>
      </c>
      <c r="P1024" s="5">
        <f t="shared" si="167"/>
        <v>0</v>
      </c>
      <c r="Q1024">
        <f t="shared" si="168"/>
        <v>0</v>
      </c>
      <c r="R1024">
        <f t="shared" si="169"/>
        <v>0</v>
      </c>
      <c r="S1024">
        <f t="shared" si="170"/>
        <v>0</v>
      </c>
      <c r="T1024">
        <f t="shared" si="171"/>
        <v>0</v>
      </c>
      <c r="U1024">
        <f t="shared" si="172"/>
        <v>0</v>
      </c>
      <c r="V1024">
        <f t="shared" si="173"/>
        <v>0</v>
      </c>
      <c r="W1024">
        <f t="shared" si="174"/>
        <v>0</v>
      </c>
      <c r="X1024">
        <f t="shared" si="175"/>
        <v>0</v>
      </c>
      <c r="Y1024">
        <f t="shared" si="176"/>
        <v>0</v>
      </c>
      <c r="Z1024">
        <f t="shared" si="177"/>
        <v>0</v>
      </c>
      <c r="AA1024" t="str">
        <f>INDEX('Priority activities'!$D$5:$D$86,MATCH('Database for analysis'!C1024,'Priority activities'!$C$5:$C$86,0))</f>
        <v>FP governance structure and program coordination</v>
      </c>
    </row>
    <row r="1025" spans="2:27" ht="16.5" thickTop="1" thickBot="1" x14ac:dyDescent="0.3">
      <c r="B1025" t="s">
        <v>727</v>
      </c>
      <c r="C1025" s="22" t="str">
        <f>'Costing inputs'!$C$476</f>
        <v>New FP division resources (SMC1.1, includes RH Logistics described in PSC4.3)</v>
      </c>
      <c r="D1025" s="22" t="str">
        <f>'Costing inputs'!$U$476</f>
        <v>Central level</v>
      </c>
      <c r="E1025" s="22">
        <f>'Regional splits'!$Q$14</f>
        <v>0</v>
      </c>
      <c r="F1025">
        <v>0</v>
      </c>
      <c r="G1025">
        <v>0</v>
      </c>
      <c r="H1025">
        <v>0</v>
      </c>
      <c r="I1025">
        <v>0</v>
      </c>
      <c r="J1025">
        <v>0</v>
      </c>
      <c r="K1025">
        <v>0</v>
      </c>
      <c r="L1025">
        <v>0</v>
      </c>
      <c r="M1025">
        <v>0</v>
      </c>
      <c r="N1025">
        <v>0</v>
      </c>
      <c r="O1025">
        <v>0</v>
      </c>
      <c r="P1025" s="5">
        <f t="shared" si="167"/>
        <v>0</v>
      </c>
      <c r="Q1025">
        <f t="shared" si="168"/>
        <v>0</v>
      </c>
      <c r="R1025">
        <f t="shared" si="169"/>
        <v>0</v>
      </c>
      <c r="S1025">
        <f t="shared" si="170"/>
        <v>0</v>
      </c>
      <c r="T1025">
        <f t="shared" si="171"/>
        <v>0</v>
      </c>
      <c r="U1025">
        <f t="shared" si="172"/>
        <v>0</v>
      </c>
      <c r="V1025">
        <f t="shared" si="173"/>
        <v>0</v>
      </c>
      <c r="W1025">
        <f t="shared" si="174"/>
        <v>0</v>
      </c>
      <c r="X1025">
        <f t="shared" si="175"/>
        <v>0</v>
      </c>
      <c r="Y1025">
        <f t="shared" si="176"/>
        <v>0</v>
      </c>
      <c r="Z1025">
        <f t="shared" si="177"/>
        <v>0</v>
      </c>
      <c r="AA1025" t="str">
        <f>INDEX('Priority activities'!$D$5:$D$86,MATCH('Database for analysis'!C1025,'Priority activities'!$C$5:$C$86,0))</f>
        <v>FP governance structure and program coordination</v>
      </c>
    </row>
    <row r="1026" spans="2:27" ht="16.5" thickTop="1" thickBot="1" x14ac:dyDescent="0.3">
      <c r="B1026" t="s">
        <v>727</v>
      </c>
      <c r="C1026" s="22" t="str">
        <f>'Costing inputs'!$C$476</f>
        <v>New FP division resources (SMC1.1, includes RH Logistics described in PSC4.3)</v>
      </c>
      <c r="D1026" s="22" t="str">
        <f>'Costing inputs'!$U$476</f>
        <v>Central level</v>
      </c>
      <c r="E1026" s="22" t="str">
        <f>'Regional splits'!$R$14</f>
        <v>National-level</v>
      </c>
      <c r="F1026">
        <v>617500</v>
      </c>
      <c r="G1026">
        <v>617500</v>
      </c>
      <c r="H1026">
        <v>617500</v>
      </c>
      <c r="I1026">
        <v>617500</v>
      </c>
      <c r="J1026">
        <v>617500</v>
      </c>
      <c r="K1026">
        <v>617500</v>
      </c>
      <c r="L1026">
        <v>617500</v>
      </c>
      <c r="M1026">
        <v>617500</v>
      </c>
      <c r="N1026">
        <v>0</v>
      </c>
      <c r="O1026">
        <v>0</v>
      </c>
      <c r="P1026" s="5">
        <f t="shared" si="167"/>
        <v>4940000</v>
      </c>
      <c r="Q1026">
        <f t="shared" si="168"/>
        <v>617500</v>
      </c>
      <c r="R1026">
        <f t="shared" si="169"/>
        <v>617500</v>
      </c>
      <c r="S1026">
        <f t="shared" si="170"/>
        <v>617500</v>
      </c>
      <c r="T1026">
        <f t="shared" si="171"/>
        <v>617500</v>
      </c>
      <c r="U1026">
        <f t="shared" si="172"/>
        <v>617500</v>
      </c>
      <c r="V1026">
        <f t="shared" si="173"/>
        <v>617500</v>
      </c>
      <c r="W1026">
        <f t="shared" si="174"/>
        <v>617500</v>
      </c>
      <c r="X1026">
        <f t="shared" si="175"/>
        <v>617500</v>
      </c>
      <c r="Y1026">
        <f t="shared" si="176"/>
        <v>0</v>
      </c>
      <c r="Z1026">
        <f t="shared" si="177"/>
        <v>0</v>
      </c>
      <c r="AA1026" t="str">
        <f>INDEX('Priority activities'!$D$5:$D$86,MATCH('Database for analysis'!C1026,'Priority activities'!$C$5:$C$86,0))</f>
        <v>FP governance structure and program coordination</v>
      </c>
    </row>
    <row r="1027" spans="2:27" ht="16.5" thickTop="1" thickBot="1" x14ac:dyDescent="0.3">
      <c r="B1027" t="s">
        <v>727</v>
      </c>
      <c r="C1027" s="22" t="str">
        <f>'Costing inputs'!$C$483</f>
        <v>FP division equipment - initial investment (SMC1.1)</v>
      </c>
      <c r="D1027" s="22" t="str">
        <f>'Costing inputs'!$U$483</f>
        <v>Central level</v>
      </c>
      <c r="E1027" s="22" t="str">
        <f>'Regional splits'!$C$14</f>
        <v>Central</v>
      </c>
      <c r="F1027">
        <f t="array" ref="F1027:O1042">'Costing inputs'!S483*'Costing inputs'!AP483:AY483*TRANSPOSE('Costing inputs'!W483:AL483)</f>
        <v>0</v>
      </c>
      <c r="G1027">
        <v>0</v>
      </c>
      <c r="H1027">
        <v>0</v>
      </c>
      <c r="I1027">
        <v>0</v>
      </c>
      <c r="J1027">
        <v>0</v>
      </c>
      <c r="K1027">
        <v>0</v>
      </c>
      <c r="L1027">
        <v>0</v>
      </c>
      <c r="M1027">
        <v>0</v>
      </c>
      <c r="N1027">
        <v>0</v>
      </c>
      <c r="O1027">
        <v>0</v>
      </c>
      <c r="P1027" s="5">
        <f t="shared" si="167"/>
        <v>0</v>
      </c>
      <c r="Q1027">
        <f t="shared" si="168"/>
        <v>0</v>
      </c>
      <c r="R1027">
        <f t="shared" si="169"/>
        <v>0</v>
      </c>
      <c r="S1027">
        <f t="shared" si="170"/>
        <v>0</v>
      </c>
      <c r="T1027">
        <f t="shared" si="171"/>
        <v>0</v>
      </c>
      <c r="U1027">
        <f t="shared" si="172"/>
        <v>0</v>
      </c>
      <c r="V1027">
        <f t="shared" si="173"/>
        <v>0</v>
      </c>
      <c r="W1027">
        <f t="shared" si="174"/>
        <v>0</v>
      </c>
      <c r="X1027">
        <f t="shared" si="175"/>
        <v>0</v>
      </c>
      <c r="Y1027">
        <f t="shared" si="176"/>
        <v>0</v>
      </c>
      <c r="Z1027">
        <f t="shared" si="177"/>
        <v>0</v>
      </c>
      <c r="AA1027" t="str">
        <f>INDEX('Priority activities'!$D$5:$D$86,MATCH('Database for analysis'!C1027,'Priority activities'!$C$5:$C$86,0))</f>
        <v>FP governance structure and program coordination</v>
      </c>
    </row>
    <row r="1028" spans="2:27" ht="16.5" thickTop="1" thickBot="1" x14ac:dyDescent="0.3">
      <c r="B1028" t="s">
        <v>727</v>
      </c>
      <c r="C1028" s="22" t="str">
        <f>'Costing inputs'!$C$483</f>
        <v>FP division equipment - initial investment (SMC1.1)</v>
      </c>
      <c r="D1028" s="22" t="str">
        <f>'Costing inputs'!$U$483</f>
        <v>Central level</v>
      </c>
      <c r="E1028" s="22" t="str">
        <f>'Regional splits'!$D$14</f>
        <v>Copperbelt</v>
      </c>
      <c r="F1028">
        <v>0</v>
      </c>
      <c r="G1028">
        <v>0</v>
      </c>
      <c r="H1028">
        <v>0</v>
      </c>
      <c r="I1028">
        <v>0</v>
      </c>
      <c r="J1028">
        <v>0</v>
      </c>
      <c r="K1028">
        <v>0</v>
      </c>
      <c r="L1028">
        <v>0</v>
      </c>
      <c r="M1028">
        <v>0</v>
      </c>
      <c r="N1028">
        <v>0</v>
      </c>
      <c r="O1028">
        <v>0</v>
      </c>
      <c r="P1028" s="5">
        <f t="shared" ref="P1028:P1091" si="178">SUMIF(F1028:O1028,"&lt;&gt;#N/A")</f>
        <v>0</v>
      </c>
      <c r="Q1028">
        <f t="shared" ref="Q1028:Q1091" si="179">IF(ISNA(F1028),0,F1028)</f>
        <v>0</v>
      </c>
      <c r="R1028">
        <f t="shared" ref="R1028:R1091" si="180">IF(ISNA(G1028),0,G1028)</f>
        <v>0</v>
      </c>
      <c r="S1028">
        <f t="shared" ref="S1028:S1091" si="181">IF(ISNA(H1028),0,H1028)</f>
        <v>0</v>
      </c>
      <c r="T1028">
        <f t="shared" ref="T1028:T1091" si="182">IF(ISNA(I1028),0,I1028)</f>
        <v>0</v>
      </c>
      <c r="U1028">
        <f t="shared" ref="U1028:U1091" si="183">IF(ISNA(J1028),0,J1028)</f>
        <v>0</v>
      </c>
      <c r="V1028">
        <f t="shared" ref="V1028:V1091" si="184">IF(ISNA(K1028),0,K1028)</f>
        <v>0</v>
      </c>
      <c r="W1028">
        <f t="shared" ref="W1028:W1091" si="185">IF(ISNA(L1028),0,L1028)</f>
        <v>0</v>
      </c>
      <c r="X1028">
        <f t="shared" ref="X1028:X1091" si="186">IF(ISNA(M1028),0,M1028)</f>
        <v>0</v>
      </c>
      <c r="Y1028">
        <f t="shared" ref="Y1028:Y1091" si="187">IF(ISNA(N1028),0,N1028)</f>
        <v>0</v>
      </c>
      <c r="Z1028">
        <f t="shared" ref="Z1028:Z1091" si="188">IF(ISNA(O1028),0,O1028)</f>
        <v>0</v>
      </c>
      <c r="AA1028" t="str">
        <f>INDEX('Priority activities'!$D$5:$D$86,MATCH('Database for analysis'!C1028,'Priority activities'!$C$5:$C$86,0))</f>
        <v>FP governance structure and program coordination</v>
      </c>
    </row>
    <row r="1029" spans="2:27" ht="16.5" thickTop="1" thickBot="1" x14ac:dyDescent="0.3">
      <c r="B1029" t="s">
        <v>727</v>
      </c>
      <c r="C1029" s="22" t="str">
        <f>'Costing inputs'!$C$483</f>
        <v>FP division equipment - initial investment (SMC1.1)</v>
      </c>
      <c r="D1029" s="22" t="str">
        <f>'Costing inputs'!$U$483</f>
        <v>Central level</v>
      </c>
      <c r="E1029" s="22" t="str">
        <f>'Regional splits'!$E$14</f>
        <v>Eastern</v>
      </c>
      <c r="F1029">
        <v>0</v>
      </c>
      <c r="G1029">
        <v>0</v>
      </c>
      <c r="H1029">
        <v>0</v>
      </c>
      <c r="I1029">
        <v>0</v>
      </c>
      <c r="J1029">
        <v>0</v>
      </c>
      <c r="K1029">
        <v>0</v>
      </c>
      <c r="L1029">
        <v>0</v>
      </c>
      <c r="M1029">
        <v>0</v>
      </c>
      <c r="N1029">
        <v>0</v>
      </c>
      <c r="O1029">
        <v>0</v>
      </c>
      <c r="P1029" s="5">
        <f t="shared" si="178"/>
        <v>0</v>
      </c>
      <c r="Q1029">
        <f t="shared" si="179"/>
        <v>0</v>
      </c>
      <c r="R1029">
        <f t="shared" si="180"/>
        <v>0</v>
      </c>
      <c r="S1029">
        <f t="shared" si="181"/>
        <v>0</v>
      </c>
      <c r="T1029">
        <f t="shared" si="182"/>
        <v>0</v>
      </c>
      <c r="U1029">
        <f t="shared" si="183"/>
        <v>0</v>
      </c>
      <c r="V1029">
        <f t="shared" si="184"/>
        <v>0</v>
      </c>
      <c r="W1029">
        <f t="shared" si="185"/>
        <v>0</v>
      </c>
      <c r="X1029">
        <f t="shared" si="186"/>
        <v>0</v>
      </c>
      <c r="Y1029">
        <f t="shared" si="187"/>
        <v>0</v>
      </c>
      <c r="Z1029">
        <f t="shared" si="188"/>
        <v>0</v>
      </c>
      <c r="AA1029" t="str">
        <f>INDEX('Priority activities'!$D$5:$D$86,MATCH('Database for analysis'!C1029,'Priority activities'!$C$5:$C$86,0))</f>
        <v>FP governance structure and program coordination</v>
      </c>
    </row>
    <row r="1030" spans="2:27" ht="16.5" thickTop="1" thickBot="1" x14ac:dyDescent="0.3">
      <c r="B1030" t="s">
        <v>727</v>
      </c>
      <c r="C1030" s="22" t="str">
        <f>'Costing inputs'!$C$483</f>
        <v>FP division equipment - initial investment (SMC1.1)</v>
      </c>
      <c r="D1030" s="22" t="str">
        <f>'Costing inputs'!$U$483</f>
        <v>Central level</v>
      </c>
      <c r="E1030" s="22" t="str">
        <f>'Regional splits'!$F$14</f>
        <v>Luapula</v>
      </c>
      <c r="F1030">
        <v>0</v>
      </c>
      <c r="G1030">
        <v>0</v>
      </c>
      <c r="H1030">
        <v>0</v>
      </c>
      <c r="I1030">
        <v>0</v>
      </c>
      <c r="J1030">
        <v>0</v>
      </c>
      <c r="K1030">
        <v>0</v>
      </c>
      <c r="L1030">
        <v>0</v>
      </c>
      <c r="M1030">
        <v>0</v>
      </c>
      <c r="N1030">
        <v>0</v>
      </c>
      <c r="O1030">
        <v>0</v>
      </c>
      <c r="P1030" s="5">
        <f t="shared" si="178"/>
        <v>0</v>
      </c>
      <c r="Q1030">
        <f t="shared" si="179"/>
        <v>0</v>
      </c>
      <c r="R1030">
        <f t="shared" si="180"/>
        <v>0</v>
      </c>
      <c r="S1030">
        <f t="shared" si="181"/>
        <v>0</v>
      </c>
      <c r="T1030">
        <f t="shared" si="182"/>
        <v>0</v>
      </c>
      <c r="U1030">
        <f t="shared" si="183"/>
        <v>0</v>
      </c>
      <c r="V1030">
        <f t="shared" si="184"/>
        <v>0</v>
      </c>
      <c r="W1030">
        <f t="shared" si="185"/>
        <v>0</v>
      </c>
      <c r="X1030">
        <f t="shared" si="186"/>
        <v>0</v>
      </c>
      <c r="Y1030">
        <f t="shared" si="187"/>
        <v>0</v>
      </c>
      <c r="Z1030">
        <f t="shared" si="188"/>
        <v>0</v>
      </c>
      <c r="AA1030" t="str">
        <f>INDEX('Priority activities'!$D$5:$D$86,MATCH('Database for analysis'!C1030,'Priority activities'!$C$5:$C$86,0))</f>
        <v>FP governance structure and program coordination</v>
      </c>
    </row>
    <row r="1031" spans="2:27" ht="16.5" thickTop="1" thickBot="1" x14ac:dyDescent="0.3">
      <c r="B1031" t="s">
        <v>727</v>
      </c>
      <c r="C1031" s="22" t="str">
        <f>'Costing inputs'!$C$483</f>
        <v>FP division equipment - initial investment (SMC1.1)</v>
      </c>
      <c r="D1031" s="22" t="str">
        <f>'Costing inputs'!$U$483</f>
        <v>Central level</v>
      </c>
      <c r="E1031" s="22" t="str">
        <f>'Regional splits'!$G$14</f>
        <v>Lusaka</v>
      </c>
      <c r="F1031">
        <v>0</v>
      </c>
      <c r="G1031">
        <v>0</v>
      </c>
      <c r="H1031">
        <v>0</v>
      </c>
      <c r="I1031">
        <v>0</v>
      </c>
      <c r="J1031">
        <v>0</v>
      </c>
      <c r="K1031">
        <v>0</v>
      </c>
      <c r="L1031">
        <v>0</v>
      </c>
      <c r="M1031">
        <v>0</v>
      </c>
      <c r="N1031">
        <v>0</v>
      </c>
      <c r="O1031">
        <v>0</v>
      </c>
      <c r="P1031" s="5">
        <f t="shared" si="178"/>
        <v>0</v>
      </c>
      <c r="Q1031">
        <f t="shared" si="179"/>
        <v>0</v>
      </c>
      <c r="R1031">
        <f t="shared" si="180"/>
        <v>0</v>
      </c>
      <c r="S1031">
        <f t="shared" si="181"/>
        <v>0</v>
      </c>
      <c r="T1031">
        <f t="shared" si="182"/>
        <v>0</v>
      </c>
      <c r="U1031">
        <f t="shared" si="183"/>
        <v>0</v>
      </c>
      <c r="V1031">
        <f t="shared" si="184"/>
        <v>0</v>
      </c>
      <c r="W1031">
        <f t="shared" si="185"/>
        <v>0</v>
      </c>
      <c r="X1031">
        <f t="shared" si="186"/>
        <v>0</v>
      </c>
      <c r="Y1031">
        <f t="shared" si="187"/>
        <v>0</v>
      </c>
      <c r="Z1031">
        <f t="shared" si="188"/>
        <v>0</v>
      </c>
      <c r="AA1031" t="str">
        <f>INDEX('Priority activities'!$D$5:$D$86,MATCH('Database for analysis'!C1031,'Priority activities'!$C$5:$C$86,0))</f>
        <v>FP governance structure and program coordination</v>
      </c>
    </row>
    <row r="1032" spans="2:27" ht="16.5" thickTop="1" thickBot="1" x14ac:dyDescent="0.3">
      <c r="B1032" t="s">
        <v>727</v>
      </c>
      <c r="C1032" s="22" t="str">
        <f>'Costing inputs'!$C$483</f>
        <v>FP division equipment - initial investment (SMC1.1)</v>
      </c>
      <c r="D1032" s="22" t="str">
        <f>'Costing inputs'!$U$483</f>
        <v>Central level</v>
      </c>
      <c r="E1032" s="22" t="str">
        <f>'Regional splits'!$H$14</f>
        <v>Muchinga</v>
      </c>
      <c r="F1032">
        <v>0</v>
      </c>
      <c r="G1032">
        <v>0</v>
      </c>
      <c r="H1032">
        <v>0</v>
      </c>
      <c r="I1032">
        <v>0</v>
      </c>
      <c r="J1032">
        <v>0</v>
      </c>
      <c r="K1032">
        <v>0</v>
      </c>
      <c r="L1032">
        <v>0</v>
      </c>
      <c r="M1032">
        <v>0</v>
      </c>
      <c r="N1032">
        <v>0</v>
      </c>
      <c r="O1032">
        <v>0</v>
      </c>
      <c r="P1032" s="5">
        <f t="shared" si="178"/>
        <v>0</v>
      </c>
      <c r="Q1032">
        <f t="shared" si="179"/>
        <v>0</v>
      </c>
      <c r="R1032">
        <f t="shared" si="180"/>
        <v>0</v>
      </c>
      <c r="S1032">
        <f t="shared" si="181"/>
        <v>0</v>
      </c>
      <c r="T1032">
        <f t="shared" si="182"/>
        <v>0</v>
      </c>
      <c r="U1032">
        <f t="shared" si="183"/>
        <v>0</v>
      </c>
      <c r="V1032">
        <f t="shared" si="184"/>
        <v>0</v>
      </c>
      <c r="W1032">
        <f t="shared" si="185"/>
        <v>0</v>
      </c>
      <c r="X1032">
        <f t="shared" si="186"/>
        <v>0</v>
      </c>
      <c r="Y1032">
        <f t="shared" si="187"/>
        <v>0</v>
      </c>
      <c r="Z1032">
        <f t="shared" si="188"/>
        <v>0</v>
      </c>
      <c r="AA1032" t="str">
        <f>INDEX('Priority activities'!$D$5:$D$86,MATCH('Database for analysis'!C1032,'Priority activities'!$C$5:$C$86,0))</f>
        <v>FP governance structure and program coordination</v>
      </c>
    </row>
    <row r="1033" spans="2:27" ht="16.5" thickTop="1" thickBot="1" x14ac:dyDescent="0.3">
      <c r="B1033" t="s">
        <v>727</v>
      </c>
      <c r="C1033" s="22" t="str">
        <f>'Costing inputs'!$C$483</f>
        <v>FP division equipment - initial investment (SMC1.1)</v>
      </c>
      <c r="D1033" s="22" t="str">
        <f>'Costing inputs'!$U$483</f>
        <v>Central level</v>
      </c>
      <c r="E1033" s="22" t="str">
        <f>'Regional splits'!$I$14</f>
        <v>Northern</v>
      </c>
      <c r="F1033">
        <v>0</v>
      </c>
      <c r="G1033">
        <v>0</v>
      </c>
      <c r="H1033">
        <v>0</v>
      </c>
      <c r="I1033">
        <v>0</v>
      </c>
      <c r="J1033">
        <v>0</v>
      </c>
      <c r="K1033">
        <v>0</v>
      </c>
      <c r="L1033">
        <v>0</v>
      </c>
      <c r="M1033">
        <v>0</v>
      </c>
      <c r="N1033">
        <v>0</v>
      </c>
      <c r="O1033">
        <v>0</v>
      </c>
      <c r="P1033" s="5">
        <f t="shared" si="178"/>
        <v>0</v>
      </c>
      <c r="Q1033">
        <f t="shared" si="179"/>
        <v>0</v>
      </c>
      <c r="R1033">
        <f t="shared" si="180"/>
        <v>0</v>
      </c>
      <c r="S1033">
        <f t="shared" si="181"/>
        <v>0</v>
      </c>
      <c r="T1033">
        <f t="shared" si="182"/>
        <v>0</v>
      </c>
      <c r="U1033">
        <f t="shared" si="183"/>
        <v>0</v>
      </c>
      <c r="V1033">
        <f t="shared" si="184"/>
        <v>0</v>
      </c>
      <c r="W1033">
        <f t="shared" si="185"/>
        <v>0</v>
      </c>
      <c r="X1033">
        <f t="shared" si="186"/>
        <v>0</v>
      </c>
      <c r="Y1033">
        <f t="shared" si="187"/>
        <v>0</v>
      </c>
      <c r="Z1033">
        <f t="shared" si="188"/>
        <v>0</v>
      </c>
      <c r="AA1033" t="str">
        <f>INDEX('Priority activities'!$D$5:$D$86,MATCH('Database for analysis'!C1033,'Priority activities'!$C$5:$C$86,0))</f>
        <v>FP governance structure and program coordination</v>
      </c>
    </row>
    <row r="1034" spans="2:27" ht="16.5" thickTop="1" thickBot="1" x14ac:dyDescent="0.3">
      <c r="B1034" t="s">
        <v>727</v>
      </c>
      <c r="C1034" s="22" t="str">
        <f>'Costing inputs'!$C$483</f>
        <v>FP division equipment - initial investment (SMC1.1)</v>
      </c>
      <c r="D1034" s="22" t="str">
        <f>'Costing inputs'!$U$483</f>
        <v>Central level</v>
      </c>
      <c r="E1034" s="22" t="str">
        <f>'Regional splits'!$J$14</f>
        <v>North Western</v>
      </c>
      <c r="F1034">
        <v>0</v>
      </c>
      <c r="G1034">
        <v>0</v>
      </c>
      <c r="H1034">
        <v>0</v>
      </c>
      <c r="I1034">
        <v>0</v>
      </c>
      <c r="J1034">
        <v>0</v>
      </c>
      <c r="K1034">
        <v>0</v>
      </c>
      <c r="L1034">
        <v>0</v>
      </c>
      <c r="M1034">
        <v>0</v>
      </c>
      <c r="N1034">
        <v>0</v>
      </c>
      <c r="O1034">
        <v>0</v>
      </c>
      <c r="P1034" s="5">
        <f t="shared" si="178"/>
        <v>0</v>
      </c>
      <c r="Q1034">
        <f t="shared" si="179"/>
        <v>0</v>
      </c>
      <c r="R1034">
        <f t="shared" si="180"/>
        <v>0</v>
      </c>
      <c r="S1034">
        <f t="shared" si="181"/>
        <v>0</v>
      </c>
      <c r="T1034">
        <f t="shared" si="182"/>
        <v>0</v>
      </c>
      <c r="U1034">
        <f t="shared" si="183"/>
        <v>0</v>
      </c>
      <c r="V1034">
        <f t="shared" si="184"/>
        <v>0</v>
      </c>
      <c r="W1034">
        <f t="shared" si="185"/>
        <v>0</v>
      </c>
      <c r="X1034">
        <f t="shared" si="186"/>
        <v>0</v>
      </c>
      <c r="Y1034">
        <f t="shared" si="187"/>
        <v>0</v>
      </c>
      <c r="Z1034">
        <f t="shared" si="188"/>
        <v>0</v>
      </c>
      <c r="AA1034" t="str">
        <f>INDEX('Priority activities'!$D$5:$D$86,MATCH('Database for analysis'!C1034,'Priority activities'!$C$5:$C$86,0))</f>
        <v>FP governance structure and program coordination</v>
      </c>
    </row>
    <row r="1035" spans="2:27" ht="16.5" thickTop="1" thickBot="1" x14ac:dyDescent="0.3">
      <c r="B1035" t="s">
        <v>727</v>
      </c>
      <c r="C1035" s="22" t="str">
        <f>'Costing inputs'!$C$483</f>
        <v>FP division equipment - initial investment (SMC1.1)</v>
      </c>
      <c r="D1035" s="22" t="str">
        <f>'Costing inputs'!$U$483</f>
        <v>Central level</v>
      </c>
      <c r="E1035" s="22" t="str">
        <f>'Regional splits'!$K$14</f>
        <v>Southern</v>
      </c>
      <c r="F1035">
        <v>0</v>
      </c>
      <c r="G1035">
        <v>0</v>
      </c>
      <c r="H1035">
        <v>0</v>
      </c>
      <c r="I1035">
        <v>0</v>
      </c>
      <c r="J1035">
        <v>0</v>
      </c>
      <c r="K1035">
        <v>0</v>
      </c>
      <c r="L1035">
        <v>0</v>
      </c>
      <c r="M1035">
        <v>0</v>
      </c>
      <c r="N1035">
        <v>0</v>
      </c>
      <c r="O1035">
        <v>0</v>
      </c>
      <c r="P1035" s="5">
        <f t="shared" si="178"/>
        <v>0</v>
      </c>
      <c r="Q1035">
        <f t="shared" si="179"/>
        <v>0</v>
      </c>
      <c r="R1035">
        <f t="shared" si="180"/>
        <v>0</v>
      </c>
      <c r="S1035">
        <f t="shared" si="181"/>
        <v>0</v>
      </c>
      <c r="T1035">
        <f t="shared" si="182"/>
        <v>0</v>
      </c>
      <c r="U1035">
        <f t="shared" si="183"/>
        <v>0</v>
      </c>
      <c r="V1035">
        <f t="shared" si="184"/>
        <v>0</v>
      </c>
      <c r="W1035">
        <f t="shared" si="185"/>
        <v>0</v>
      </c>
      <c r="X1035">
        <f t="shared" si="186"/>
        <v>0</v>
      </c>
      <c r="Y1035">
        <f t="shared" si="187"/>
        <v>0</v>
      </c>
      <c r="Z1035">
        <f t="shared" si="188"/>
        <v>0</v>
      </c>
      <c r="AA1035" t="str">
        <f>INDEX('Priority activities'!$D$5:$D$86,MATCH('Database for analysis'!C1035,'Priority activities'!$C$5:$C$86,0))</f>
        <v>FP governance structure and program coordination</v>
      </c>
    </row>
    <row r="1036" spans="2:27" ht="16.5" thickTop="1" thickBot="1" x14ac:dyDescent="0.3">
      <c r="B1036" t="s">
        <v>727</v>
      </c>
      <c r="C1036" s="22" t="str">
        <f>'Costing inputs'!$C$483</f>
        <v>FP division equipment - initial investment (SMC1.1)</v>
      </c>
      <c r="D1036" s="22" t="str">
        <f>'Costing inputs'!$U$483</f>
        <v>Central level</v>
      </c>
      <c r="E1036" s="22" t="str">
        <f>'Regional splits'!$L$14</f>
        <v>Western</v>
      </c>
      <c r="F1036">
        <v>0</v>
      </c>
      <c r="G1036">
        <v>0</v>
      </c>
      <c r="H1036">
        <v>0</v>
      </c>
      <c r="I1036">
        <v>0</v>
      </c>
      <c r="J1036">
        <v>0</v>
      </c>
      <c r="K1036">
        <v>0</v>
      </c>
      <c r="L1036">
        <v>0</v>
      </c>
      <c r="M1036">
        <v>0</v>
      </c>
      <c r="N1036">
        <v>0</v>
      </c>
      <c r="O1036">
        <v>0</v>
      </c>
      <c r="P1036" s="5">
        <f t="shared" si="178"/>
        <v>0</v>
      </c>
      <c r="Q1036">
        <f t="shared" si="179"/>
        <v>0</v>
      </c>
      <c r="R1036">
        <f t="shared" si="180"/>
        <v>0</v>
      </c>
      <c r="S1036">
        <f t="shared" si="181"/>
        <v>0</v>
      </c>
      <c r="T1036">
        <f t="shared" si="182"/>
        <v>0</v>
      </c>
      <c r="U1036">
        <f t="shared" si="183"/>
        <v>0</v>
      </c>
      <c r="V1036">
        <f t="shared" si="184"/>
        <v>0</v>
      </c>
      <c r="W1036">
        <f t="shared" si="185"/>
        <v>0</v>
      </c>
      <c r="X1036">
        <f t="shared" si="186"/>
        <v>0</v>
      </c>
      <c r="Y1036">
        <f t="shared" si="187"/>
        <v>0</v>
      </c>
      <c r="Z1036">
        <f t="shared" si="188"/>
        <v>0</v>
      </c>
      <c r="AA1036" t="str">
        <f>INDEX('Priority activities'!$D$5:$D$86,MATCH('Database for analysis'!C1036,'Priority activities'!$C$5:$C$86,0))</f>
        <v>FP governance structure and program coordination</v>
      </c>
    </row>
    <row r="1037" spans="2:27" ht="16.5" thickTop="1" thickBot="1" x14ac:dyDescent="0.3">
      <c r="B1037" t="s">
        <v>727</v>
      </c>
      <c r="C1037" s="22" t="str">
        <f>'Costing inputs'!$C$483</f>
        <v>FP division equipment - initial investment (SMC1.1)</v>
      </c>
      <c r="D1037" s="22" t="str">
        <f>'Costing inputs'!$U$483</f>
        <v>Central level</v>
      </c>
      <c r="E1037" s="22">
        <f>'Regional splits'!$M$14</f>
        <v>0</v>
      </c>
      <c r="F1037">
        <v>0</v>
      </c>
      <c r="G1037">
        <v>0</v>
      </c>
      <c r="H1037">
        <v>0</v>
      </c>
      <c r="I1037">
        <v>0</v>
      </c>
      <c r="J1037">
        <v>0</v>
      </c>
      <c r="K1037">
        <v>0</v>
      </c>
      <c r="L1037">
        <v>0</v>
      </c>
      <c r="M1037">
        <v>0</v>
      </c>
      <c r="N1037">
        <v>0</v>
      </c>
      <c r="O1037">
        <v>0</v>
      </c>
      <c r="P1037" s="5">
        <f t="shared" si="178"/>
        <v>0</v>
      </c>
      <c r="Q1037">
        <f t="shared" si="179"/>
        <v>0</v>
      </c>
      <c r="R1037">
        <f t="shared" si="180"/>
        <v>0</v>
      </c>
      <c r="S1037">
        <f t="shared" si="181"/>
        <v>0</v>
      </c>
      <c r="T1037">
        <f t="shared" si="182"/>
        <v>0</v>
      </c>
      <c r="U1037">
        <f t="shared" si="183"/>
        <v>0</v>
      </c>
      <c r="V1037">
        <f t="shared" si="184"/>
        <v>0</v>
      </c>
      <c r="W1037">
        <f t="shared" si="185"/>
        <v>0</v>
      </c>
      <c r="X1037">
        <f t="shared" si="186"/>
        <v>0</v>
      </c>
      <c r="Y1037">
        <f t="shared" si="187"/>
        <v>0</v>
      </c>
      <c r="Z1037">
        <f t="shared" si="188"/>
        <v>0</v>
      </c>
      <c r="AA1037" t="str">
        <f>INDEX('Priority activities'!$D$5:$D$86,MATCH('Database for analysis'!C1037,'Priority activities'!$C$5:$C$86,0))</f>
        <v>FP governance structure and program coordination</v>
      </c>
    </row>
    <row r="1038" spans="2:27" ht="16.5" thickTop="1" thickBot="1" x14ac:dyDescent="0.3">
      <c r="B1038" t="s">
        <v>727</v>
      </c>
      <c r="C1038" s="22" t="str">
        <f>'Costing inputs'!$C$483</f>
        <v>FP division equipment - initial investment (SMC1.1)</v>
      </c>
      <c r="D1038" s="22" t="str">
        <f>'Costing inputs'!$U$483</f>
        <v>Central level</v>
      </c>
      <c r="E1038" s="22">
        <f>'Regional splits'!$N$14</f>
        <v>0</v>
      </c>
      <c r="F1038">
        <v>0</v>
      </c>
      <c r="G1038">
        <v>0</v>
      </c>
      <c r="H1038">
        <v>0</v>
      </c>
      <c r="I1038">
        <v>0</v>
      </c>
      <c r="J1038">
        <v>0</v>
      </c>
      <c r="K1038">
        <v>0</v>
      </c>
      <c r="L1038">
        <v>0</v>
      </c>
      <c r="M1038">
        <v>0</v>
      </c>
      <c r="N1038">
        <v>0</v>
      </c>
      <c r="O1038">
        <v>0</v>
      </c>
      <c r="P1038" s="5">
        <f t="shared" si="178"/>
        <v>0</v>
      </c>
      <c r="Q1038">
        <f t="shared" si="179"/>
        <v>0</v>
      </c>
      <c r="R1038">
        <f t="shared" si="180"/>
        <v>0</v>
      </c>
      <c r="S1038">
        <f t="shared" si="181"/>
        <v>0</v>
      </c>
      <c r="T1038">
        <f t="shared" si="182"/>
        <v>0</v>
      </c>
      <c r="U1038">
        <f t="shared" si="183"/>
        <v>0</v>
      </c>
      <c r="V1038">
        <f t="shared" si="184"/>
        <v>0</v>
      </c>
      <c r="W1038">
        <f t="shared" si="185"/>
        <v>0</v>
      </c>
      <c r="X1038">
        <f t="shared" si="186"/>
        <v>0</v>
      </c>
      <c r="Y1038">
        <f t="shared" si="187"/>
        <v>0</v>
      </c>
      <c r="Z1038">
        <f t="shared" si="188"/>
        <v>0</v>
      </c>
      <c r="AA1038" t="str">
        <f>INDEX('Priority activities'!$D$5:$D$86,MATCH('Database for analysis'!C1038,'Priority activities'!$C$5:$C$86,0))</f>
        <v>FP governance structure and program coordination</v>
      </c>
    </row>
    <row r="1039" spans="2:27" ht="16.5" thickTop="1" thickBot="1" x14ac:dyDescent="0.3">
      <c r="B1039" t="s">
        <v>727</v>
      </c>
      <c r="C1039" s="22" t="str">
        <f>'Costing inputs'!$C$483</f>
        <v>FP division equipment - initial investment (SMC1.1)</v>
      </c>
      <c r="D1039" s="22" t="str">
        <f>'Costing inputs'!$U$483</f>
        <v>Central level</v>
      </c>
      <c r="E1039" s="22">
        <f>'Regional splits'!$O$14</f>
        <v>0</v>
      </c>
      <c r="F1039">
        <v>0</v>
      </c>
      <c r="G1039">
        <v>0</v>
      </c>
      <c r="H1039">
        <v>0</v>
      </c>
      <c r="I1039">
        <v>0</v>
      </c>
      <c r="J1039">
        <v>0</v>
      </c>
      <c r="K1039">
        <v>0</v>
      </c>
      <c r="L1039">
        <v>0</v>
      </c>
      <c r="M1039">
        <v>0</v>
      </c>
      <c r="N1039">
        <v>0</v>
      </c>
      <c r="O1039">
        <v>0</v>
      </c>
      <c r="P1039" s="5">
        <f t="shared" si="178"/>
        <v>0</v>
      </c>
      <c r="Q1039">
        <f t="shared" si="179"/>
        <v>0</v>
      </c>
      <c r="R1039">
        <f t="shared" si="180"/>
        <v>0</v>
      </c>
      <c r="S1039">
        <f t="shared" si="181"/>
        <v>0</v>
      </c>
      <c r="T1039">
        <f t="shared" si="182"/>
        <v>0</v>
      </c>
      <c r="U1039">
        <f t="shared" si="183"/>
        <v>0</v>
      </c>
      <c r="V1039">
        <f t="shared" si="184"/>
        <v>0</v>
      </c>
      <c r="W1039">
        <f t="shared" si="185"/>
        <v>0</v>
      </c>
      <c r="X1039">
        <f t="shared" si="186"/>
        <v>0</v>
      </c>
      <c r="Y1039">
        <f t="shared" si="187"/>
        <v>0</v>
      </c>
      <c r="Z1039">
        <f t="shared" si="188"/>
        <v>0</v>
      </c>
      <c r="AA1039" t="str">
        <f>INDEX('Priority activities'!$D$5:$D$86,MATCH('Database for analysis'!C1039,'Priority activities'!$C$5:$C$86,0))</f>
        <v>FP governance structure and program coordination</v>
      </c>
    </row>
    <row r="1040" spans="2:27" ht="16.5" thickTop="1" thickBot="1" x14ac:dyDescent="0.3">
      <c r="B1040" t="s">
        <v>727</v>
      </c>
      <c r="C1040" s="22" t="str">
        <f>'Costing inputs'!$C$483</f>
        <v>FP division equipment - initial investment (SMC1.1)</v>
      </c>
      <c r="D1040" s="22" t="str">
        <f>'Costing inputs'!$U$483</f>
        <v>Central level</v>
      </c>
      <c r="E1040" s="22">
        <f>'Regional splits'!$P$14</f>
        <v>0</v>
      </c>
      <c r="F1040">
        <v>0</v>
      </c>
      <c r="G1040">
        <v>0</v>
      </c>
      <c r="H1040">
        <v>0</v>
      </c>
      <c r="I1040">
        <v>0</v>
      </c>
      <c r="J1040">
        <v>0</v>
      </c>
      <c r="K1040">
        <v>0</v>
      </c>
      <c r="L1040">
        <v>0</v>
      </c>
      <c r="M1040">
        <v>0</v>
      </c>
      <c r="N1040">
        <v>0</v>
      </c>
      <c r="O1040">
        <v>0</v>
      </c>
      <c r="P1040" s="5">
        <f t="shared" si="178"/>
        <v>0</v>
      </c>
      <c r="Q1040">
        <f t="shared" si="179"/>
        <v>0</v>
      </c>
      <c r="R1040">
        <f t="shared" si="180"/>
        <v>0</v>
      </c>
      <c r="S1040">
        <f t="shared" si="181"/>
        <v>0</v>
      </c>
      <c r="T1040">
        <f t="shared" si="182"/>
        <v>0</v>
      </c>
      <c r="U1040">
        <f t="shared" si="183"/>
        <v>0</v>
      </c>
      <c r="V1040">
        <f t="shared" si="184"/>
        <v>0</v>
      </c>
      <c r="W1040">
        <f t="shared" si="185"/>
        <v>0</v>
      </c>
      <c r="X1040">
        <f t="shared" si="186"/>
        <v>0</v>
      </c>
      <c r="Y1040">
        <f t="shared" si="187"/>
        <v>0</v>
      </c>
      <c r="Z1040">
        <f t="shared" si="188"/>
        <v>0</v>
      </c>
      <c r="AA1040" t="str">
        <f>INDEX('Priority activities'!$D$5:$D$86,MATCH('Database for analysis'!C1040,'Priority activities'!$C$5:$C$86,0))</f>
        <v>FP governance structure and program coordination</v>
      </c>
    </row>
    <row r="1041" spans="2:27" ht="16.5" thickTop="1" thickBot="1" x14ac:dyDescent="0.3">
      <c r="B1041" t="s">
        <v>727</v>
      </c>
      <c r="C1041" s="22" t="str">
        <f>'Costing inputs'!$C$483</f>
        <v>FP division equipment - initial investment (SMC1.1)</v>
      </c>
      <c r="D1041" s="22" t="str">
        <f>'Costing inputs'!$U$483</f>
        <v>Central level</v>
      </c>
      <c r="E1041" s="22">
        <f>'Regional splits'!$Q$14</f>
        <v>0</v>
      </c>
      <c r="F1041">
        <v>0</v>
      </c>
      <c r="G1041">
        <v>0</v>
      </c>
      <c r="H1041">
        <v>0</v>
      </c>
      <c r="I1041">
        <v>0</v>
      </c>
      <c r="J1041">
        <v>0</v>
      </c>
      <c r="K1041">
        <v>0</v>
      </c>
      <c r="L1041">
        <v>0</v>
      </c>
      <c r="M1041">
        <v>0</v>
      </c>
      <c r="N1041">
        <v>0</v>
      </c>
      <c r="O1041">
        <v>0</v>
      </c>
      <c r="P1041" s="5">
        <f t="shared" si="178"/>
        <v>0</v>
      </c>
      <c r="Q1041">
        <f t="shared" si="179"/>
        <v>0</v>
      </c>
      <c r="R1041">
        <f t="shared" si="180"/>
        <v>0</v>
      </c>
      <c r="S1041">
        <f t="shared" si="181"/>
        <v>0</v>
      </c>
      <c r="T1041">
        <f t="shared" si="182"/>
        <v>0</v>
      </c>
      <c r="U1041">
        <f t="shared" si="183"/>
        <v>0</v>
      </c>
      <c r="V1041">
        <f t="shared" si="184"/>
        <v>0</v>
      </c>
      <c r="W1041">
        <f t="shared" si="185"/>
        <v>0</v>
      </c>
      <c r="X1041">
        <f t="shared" si="186"/>
        <v>0</v>
      </c>
      <c r="Y1041">
        <f t="shared" si="187"/>
        <v>0</v>
      </c>
      <c r="Z1041">
        <f t="shared" si="188"/>
        <v>0</v>
      </c>
      <c r="AA1041" t="str">
        <f>INDEX('Priority activities'!$D$5:$D$86,MATCH('Database for analysis'!C1041,'Priority activities'!$C$5:$C$86,0))</f>
        <v>FP governance structure and program coordination</v>
      </c>
    </row>
    <row r="1042" spans="2:27" ht="16.5" thickTop="1" thickBot="1" x14ac:dyDescent="0.3">
      <c r="B1042" t="s">
        <v>727</v>
      </c>
      <c r="C1042" s="22" t="str">
        <f>'Costing inputs'!$C$483</f>
        <v>FP division equipment - initial investment (SMC1.1)</v>
      </c>
      <c r="D1042" s="22" t="str">
        <f>'Costing inputs'!$U$483</f>
        <v>Central level</v>
      </c>
      <c r="E1042" s="22" t="str">
        <f>'Regional splits'!$R$14</f>
        <v>National-level</v>
      </c>
      <c r="F1042">
        <v>352100</v>
      </c>
      <c r="G1042">
        <v>0</v>
      </c>
      <c r="H1042">
        <v>0</v>
      </c>
      <c r="I1042">
        <v>0</v>
      </c>
      <c r="J1042">
        <v>0</v>
      </c>
      <c r="K1042">
        <v>0</v>
      </c>
      <c r="L1042">
        <v>0</v>
      </c>
      <c r="M1042">
        <v>0</v>
      </c>
      <c r="N1042">
        <v>0</v>
      </c>
      <c r="O1042">
        <v>0</v>
      </c>
      <c r="P1042" s="5">
        <f t="shared" si="178"/>
        <v>352100</v>
      </c>
      <c r="Q1042">
        <f t="shared" si="179"/>
        <v>352100</v>
      </c>
      <c r="R1042">
        <f t="shared" si="180"/>
        <v>0</v>
      </c>
      <c r="S1042">
        <f t="shared" si="181"/>
        <v>0</v>
      </c>
      <c r="T1042">
        <f t="shared" si="182"/>
        <v>0</v>
      </c>
      <c r="U1042">
        <f t="shared" si="183"/>
        <v>0</v>
      </c>
      <c r="V1042">
        <f t="shared" si="184"/>
        <v>0</v>
      </c>
      <c r="W1042">
        <f t="shared" si="185"/>
        <v>0</v>
      </c>
      <c r="X1042">
        <f t="shared" si="186"/>
        <v>0</v>
      </c>
      <c r="Y1042">
        <f t="shared" si="187"/>
        <v>0</v>
      </c>
      <c r="Z1042">
        <f t="shared" si="188"/>
        <v>0</v>
      </c>
      <c r="AA1042" t="str">
        <f>INDEX('Priority activities'!$D$5:$D$86,MATCH('Database for analysis'!C1042,'Priority activities'!$C$5:$C$86,0))</f>
        <v>FP governance structure and program coordination</v>
      </c>
    </row>
    <row r="1043" spans="2:27" ht="16.5" thickTop="1" thickBot="1" x14ac:dyDescent="0.3">
      <c r="B1043" t="s">
        <v>727</v>
      </c>
      <c r="C1043" s="22" t="str">
        <f>'Costing inputs'!$C$493</f>
        <v>FP division equipment - renewal or scaling up (SMC1.1)</v>
      </c>
      <c r="D1043" s="22" t="str">
        <f>'Costing inputs'!$U$493</f>
        <v>Central level</v>
      </c>
      <c r="E1043" s="22" t="str">
        <f>'Regional splits'!$C$14</f>
        <v>Central</v>
      </c>
      <c r="F1043">
        <f t="array" ref="F1043:O1058">'Costing inputs'!S493*'Costing inputs'!AP493:AY493*TRANSPOSE('Costing inputs'!W493:AL493)</f>
        <v>0</v>
      </c>
      <c r="G1043">
        <v>0</v>
      </c>
      <c r="H1043">
        <v>0</v>
      </c>
      <c r="I1043">
        <v>0</v>
      </c>
      <c r="J1043">
        <v>0</v>
      </c>
      <c r="K1043">
        <v>0</v>
      </c>
      <c r="L1043">
        <v>0</v>
      </c>
      <c r="M1043">
        <v>0</v>
      </c>
      <c r="N1043">
        <v>0</v>
      </c>
      <c r="O1043">
        <v>0</v>
      </c>
      <c r="P1043" s="5">
        <f t="shared" si="178"/>
        <v>0</v>
      </c>
      <c r="Q1043">
        <f t="shared" si="179"/>
        <v>0</v>
      </c>
      <c r="R1043">
        <f t="shared" si="180"/>
        <v>0</v>
      </c>
      <c r="S1043">
        <f t="shared" si="181"/>
        <v>0</v>
      </c>
      <c r="T1043">
        <f t="shared" si="182"/>
        <v>0</v>
      </c>
      <c r="U1043">
        <f t="shared" si="183"/>
        <v>0</v>
      </c>
      <c r="V1043">
        <f t="shared" si="184"/>
        <v>0</v>
      </c>
      <c r="W1043">
        <f t="shared" si="185"/>
        <v>0</v>
      </c>
      <c r="X1043">
        <f t="shared" si="186"/>
        <v>0</v>
      </c>
      <c r="Y1043">
        <f t="shared" si="187"/>
        <v>0</v>
      </c>
      <c r="Z1043">
        <f t="shared" si="188"/>
        <v>0</v>
      </c>
      <c r="AA1043" t="str">
        <f>INDEX('Priority activities'!$D$5:$D$86,MATCH('Database for analysis'!C1043,'Priority activities'!$C$5:$C$86,0))</f>
        <v>FP governance structure and program coordination</v>
      </c>
    </row>
    <row r="1044" spans="2:27" ht="16.5" thickTop="1" thickBot="1" x14ac:dyDescent="0.3">
      <c r="B1044" t="s">
        <v>727</v>
      </c>
      <c r="C1044" s="22" t="str">
        <f>'Costing inputs'!$C$493</f>
        <v>FP division equipment - renewal or scaling up (SMC1.1)</v>
      </c>
      <c r="D1044" s="22" t="str">
        <f>'Costing inputs'!$U$493</f>
        <v>Central level</v>
      </c>
      <c r="E1044" s="22" t="str">
        <f>'Regional splits'!$D$14</f>
        <v>Copperbelt</v>
      </c>
      <c r="F1044">
        <v>0</v>
      </c>
      <c r="G1044">
        <v>0</v>
      </c>
      <c r="H1044">
        <v>0</v>
      </c>
      <c r="I1044">
        <v>0</v>
      </c>
      <c r="J1044">
        <v>0</v>
      </c>
      <c r="K1044">
        <v>0</v>
      </c>
      <c r="L1044">
        <v>0</v>
      </c>
      <c r="M1044">
        <v>0</v>
      </c>
      <c r="N1044">
        <v>0</v>
      </c>
      <c r="O1044">
        <v>0</v>
      </c>
      <c r="P1044" s="5">
        <f t="shared" si="178"/>
        <v>0</v>
      </c>
      <c r="Q1044">
        <f t="shared" si="179"/>
        <v>0</v>
      </c>
      <c r="R1044">
        <f t="shared" si="180"/>
        <v>0</v>
      </c>
      <c r="S1044">
        <f t="shared" si="181"/>
        <v>0</v>
      </c>
      <c r="T1044">
        <f t="shared" si="182"/>
        <v>0</v>
      </c>
      <c r="U1044">
        <f t="shared" si="183"/>
        <v>0</v>
      </c>
      <c r="V1044">
        <f t="shared" si="184"/>
        <v>0</v>
      </c>
      <c r="W1044">
        <f t="shared" si="185"/>
        <v>0</v>
      </c>
      <c r="X1044">
        <f t="shared" si="186"/>
        <v>0</v>
      </c>
      <c r="Y1044">
        <f t="shared" si="187"/>
        <v>0</v>
      </c>
      <c r="Z1044">
        <f t="shared" si="188"/>
        <v>0</v>
      </c>
      <c r="AA1044" t="str">
        <f>INDEX('Priority activities'!$D$5:$D$86,MATCH('Database for analysis'!C1044,'Priority activities'!$C$5:$C$86,0))</f>
        <v>FP governance structure and program coordination</v>
      </c>
    </row>
    <row r="1045" spans="2:27" ht="16.5" thickTop="1" thickBot="1" x14ac:dyDescent="0.3">
      <c r="B1045" t="s">
        <v>727</v>
      </c>
      <c r="C1045" s="22" t="str">
        <f>'Costing inputs'!$C$493</f>
        <v>FP division equipment - renewal or scaling up (SMC1.1)</v>
      </c>
      <c r="D1045" s="22" t="str">
        <f>'Costing inputs'!$U$493</f>
        <v>Central level</v>
      </c>
      <c r="E1045" s="22" t="str">
        <f>'Regional splits'!$E$14</f>
        <v>Eastern</v>
      </c>
      <c r="F1045">
        <v>0</v>
      </c>
      <c r="G1045">
        <v>0</v>
      </c>
      <c r="H1045">
        <v>0</v>
      </c>
      <c r="I1045">
        <v>0</v>
      </c>
      <c r="J1045">
        <v>0</v>
      </c>
      <c r="K1045">
        <v>0</v>
      </c>
      <c r="L1045">
        <v>0</v>
      </c>
      <c r="M1045">
        <v>0</v>
      </c>
      <c r="N1045">
        <v>0</v>
      </c>
      <c r="O1045">
        <v>0</v>
      </c>
      <c r="P1045" s="5">
        <f t="shared" si="178"/>
        <v>0</v>
      </c>
      <c r="Q1045">
        <f t="shared" si="179"/>
        <v>0</v>
      </c>
      <c r="R1045">
        <f t="shared" si="180"/>
        <v>0</v>
      </c>
      <c r="S1045">
        <f t="shared" si="181"/>
        <v>0</v>
      </c>
      <c r="T1045">
        <f t="shared" si="182"/>
        <v>0</v>
      </c>
      <c r="U1045">
        <f t="shared" si="183"/>
        <v>0</v>
      </c>
      <c r="V1045">
        <f t="shared" si="184"/>
        <v>0</v>
      </c>
      <c r="W1045">
        <f t="shared" si="185"/>
        <v>0</v>
      </c>
      <c r="X1045">
        <f t="shared" si="186"/>
        <v>0</v>
      </c>
      <c r="Y1045">
        <f t="shared" si="187"/>
        <v>0</v>
      </c>
      <c r="Z1045">
        <f t="shared" si="188"/>
        <v>0</v>
      </c>
      <c r="AA1045" t="str">
        <f>INDEX('Priority activities'!$D$5:$D$86,MATCH('Database for analysis'!C1045,'Priority activities'!$C$5:$C$86,0))</f>
        <v>FP governance structure and program coordination</v>
      </c>
    </row>
    <row r="1046" spans="2:27" ht="16.5" thickTop="1" thickBot="1" x14ac:dyDescent="0.3">
      <c r="B1046" t="s">
        <v>727</v>
      </c>
      <c r="C1046" s="22" t="str">
        <f>'Costing inputs'!$C$493</f>
        <v>FP division equipment - renewal or scaling up (SMC1.1)</v>
      </c>
      <c r="D1046" s="22" t="str">
        <f>'Costing inputs'!$U$493</f>
        <v>Central level</v>
      </c>
      <c r="E1046" s="22" t="str">
        <f>'Regional splits'!$F$14</f>
        <v>Luapula</v>
      </c>
      <c r="F1046">
        <v>0</v>
      </c>
      <c r="G1046">
        <v>0</v>
      </c>
      <c r="H1046">
        <v>0</v>
      </c>
      <c r="I1046">
        <v>0</v>
      </c>
      <c r="J1046">
        <v>0</v>
      </c>
      <c r="K1046">
        <v>0</v>
      </c>
      <c r="L1046">
        <v>0</v>
      </c>
      <c r="M1046">
        <v>0</v>
      </c>
      <c r="N1046">
        <v>0</v>
      </c>
      <c r="O1046">
        <v>0</v>
      </c>
      <c r="P1046" s="5">
        <f t="shared" si="178"/>
        <v>0</v>
      </c>
      <c r="Q1046">
        <f t="shared" si="179"/>
        <v>0</v>
      </c>
      <c r="R1046">
        <f t="shared" si="180"/>
        <v>0</v>
      </c>
      <c r="S1046">
        <f t="shared" si="181"/>
        <v>0</v>
      </c>
      <c r="T1046">
        <f t="shared" si="182"/>
        <v>0</v>
      </c>
      <c r="U1046">
        <f t="shared" si="183"/>
        <v>0</v>
      </c>
      <c r="V1046">
        <f t="shared" si="184"/>
        <v>0</v>
      </c>
      <c r="W1046">
        <f t="shared" si="185"/>
        <v>0</v>
      </c>
      <c r="X1046">
        <f t="shared" si="186"/>
        <v>0</v>
      </c>
      <c r="Y1046">
        <f t="shared" si="187"/>
        <v>0</v>
      </c>
      <c r="Z1046">
        <f t="shared" si="188"/>
        <v>0</v>
      </c>
      <c r="AA1046" t="str">
        <f>INDEX('Priority activities'!$D$5:$D$86,MATCH('Database for analysis'!C1046,'Priority activities'!$C$5:$C$86,0))</f>
        <v>FP governance structure and program coordination</v>
      </c>
    </row>
    <row r="1047" spans="2:27" ht="16.5" thickTop="1" thickBot="1" x14ac:dyDescent="0.3">
      <c r="B1047" t="s">
        <v>727</v>
      </c>
      <c r="C1047" s="22" t="str">
        <f>'Costing inputs'!$C$493</f>
        <v>FP division equipment - renewal or scaling up (SMC1.1)</v>
      </c>
      <c r="D1047" s="22" t="str">
        <f>'Costing inputs'!$U$493</f>
        <v>Central level</v>
      </c>
      <c r="E1047" s="22" t="str">
        <f>'Regional splits'!$G$14</f>
        <v>Lusaka</v>
      </c>
      <c r="F1047">
        <v>0</v>
      </c>
      <c r="G1047">
        <v>0</v>
      </c>
      <c r="H1047">
        <v>0</v>
      </c>
      <c r="I1047">
        <v>0</v>
      </c>
      <c r="J1047">
        <v>0</v>
      </c>
      <c r="K1047">
        <v>0</v>
      </c>
      <c r="L1047">
        <v>0</v>
      </c>
      <c r="M1047">
        <v>0</v>
      </c>
      <c r="N1047">
        <v>0</v>
      </c>
      <c r="O1047">
        <v>0</v>
      </c>
      <c r="P1047" s="5">
        <f t="shared" si="178"/>
        <v>0</v>
      </c>
      <c r="Q1047">
        <f t="shared" si="179"/>
        <v>0</v>
      </c>
      <c r="R1047">
        <f t="shared" si="180"/>
        <v>0</v>
      </c>
      <c r="S1047">
        <f t="shared" si="181"/>
        <v>0</v>
      </c>
      <c r="T1047">
        <f t="shared" si="182"/>
        <v>0</v>
      </c>
      <c r="U1047">
        <f t="shared" si="183"/>
        <v>0</v>
      </c>
      <c r="V1047">
        <f t="shared" si="184"/>
        <v>0</v>
      </c>
      <c r="W1047">
        <f t="shared" si="185"/>
        <v>0</v>
      </c>
      <c r="X1047">
        <f t="shared" si="186"/>
        <v>0</v>
      </c>
      <c r="Y1047">
        <f t="shared" si="187"/>
        <v>0</v>
      </c>
      <c r="Z1047">
        <f t="shared" si="188"/>
        <v>0</v>
      </c>
      <c r="AA1047" t="str">
        <f>INDEX('Priority activities'!$D$5:$D$86,MATCH('Database for analysis'!C1047,'Priority activities'!$C$5:$C$86,0))</f>
        <v>FP governance structure and program coordination</v>
      </c>
    </row>
    <row r="1048" spans="2:27" ht="16.5" thickTop="1" thickBot="1" x14ac:dyDescent="0.3">
      <c r="B1048" t="s">
        <v>727</v>
      </c>
      <c r="C1048" s="22" t="str">
        <f>'Costing inputs'!$C$493</f>
        <v>FP division equipment - renewal or scaling up (SMC1.1)</v>
      </c>
      <c r="D1048" s="22" t="str">
        <f>'Costing inputs'!$U$493</f>
        <v>Central level</v>
      </c>
      <c r="E1048" s="22" t="str">
        <f>'Regional splits'!$H$14</f>
        <v>Muchinga</v>
      </c>
      <c r="F1048">
        <v>0</v>
      </c>
      <c r="G1048">
        <v>0</v>
      </c>
      <c r="H1048">
        <v>0</v>
      </c>
      <c r="I1048">
        <v>0</v>
      </c>
      <c r="J1048">
        <v>0</v>
      </c>
      <c r="K1048">
        <v>0</v>
      </c>
      <c r="L1048">
        <v>0</v>
      </c>
      <c r="M1048">
        <v>0</v>
      </c>
      <c r="N1048">
        <v>0</v>
      </c>
      <c r="O1048">
        <v>0</v>
      </c>
      <c r="P1048" s="5">
        <f t="shared" si="178"/>
        <v>0</v>
      </c>
      <c r="Q1048">
        <f t="shared" si="179"/>
        <v>0</v>
      </c>
      <c r="R1048">
        <f t="shared" si="180"/>
        <v>0</v>
      </c>
      <c r="S1048">
        <f t="shared" si="181"/>
        <v>0</v>
      </c>
      <c r="T1048">
        <f t="shared" si="182"/>
        <v>0</v>
      </c>
      <c r="U1048">
        <f t="shared" si="183"/>
        <v>0</v>
      </c>
      <c r="V1048">
        <f t="shared" si="184"/>
        <v>0</v>
      </c>
      <c r="W1048">
        <f t="shared" si="185"/>
        <v>0</v>
      </c>
      <c r="X1048">
        <f t="shared" si="186"/>
        <v>0</v>
      </c>
      <c r="Y1048">
        <f t="shared" si="187"/>
        <v>0</v>
      </c>
      <c r="Z1048">
        <f t="shared" si="188"/>
        <v>0</v>
      </c>
      <c r="AA1048" t="str">
        <f>INDEX('Priority activities'!$D$5:$D$86,MATCH('Database for analysis'!C1048,'Priority activities'!$C$5:$C$86,0))</f>
        <v>FP governance structure and program coordination</v>
      </c>
    </row>
    <row r="1049" spans="2:27" ht="16.5" thickTop="1" thickBot="1" x14ac:dyDescent="0.3">
      <c r="B1049" t="s">
        <v>727</v>
      </c>
      <c r="C1049" s="22" t="str">
        <f>'Costing inputs'!$C$493</f>
        <v>FP division equipment - renewal or scaling up (SMC1.1)</v>
      </c>
      <c r="D1049" s="22" t="str">
        <f>'Costing inputs'!$U$493</f>
        <v>Central level</v>
      </c>
      <c r="E1049" s="22" t="str">
        <f>'Regional splits'!$I$14</f>
        <v>Northern</v>
      </c>
      <c r="F1049">
        <v>0</v>
      </c>
      <c r="G1049">
        <v>0</v>
      </c>
      <c r="H1049">
        <v>0</v>
      </c>
      <c r="I1049">
        <v>0</v>
      </c>
      <c r="J1049">
        <v>0</v>
      </c>
      <c r="K1049">
        <v>0</v>
      </c>
      <c r="L1049">
        <v>0</v>
      </c>
      <c r="M1049">
        <v>0</v>
      </c>
      <c r="N1049">
        <v>0</v>
      </c>
      <c r="O1049">
        <v>0</v>
      </c>
      <c r="P1049" s="5">
        <f t="shared" si="178"/>
        <v>0</v>
      </c>
      <c r="Q1049">
        <f t="shared" si="179"/>
        <v>0</v>
      </c>
      <c r="R1049">
        <f t="shared" si="180"/>
        <v>0</v>
      </c>
      <c r="S1049">
        <f t="shared" si="181"/>
        <v>0</v>
      </c>
      <c r="T1049">
        <f t="shared" si="182"/>
        <v>0</v>
      </c>
      <c r="U1049">
        <f t="shared" si="183"/>
        <v>0</v>
      </c>
      <c r="V1049">
        <f t="shared" si="184"/>
        <v>0</v>
      </c>
      <c r="W1049">
        <f t="shared" si="185"/>
        <v>0</v>
      </c>
      <c r="X1049">
        <f t="shared" si="186"/>
        <v>0</v>
      </c>
      <c r="Y1049">
        <f t="shared" si="187"/>
        <v>0</v>
      </c>
      <c r="Z1049">
        <f t="shared" si="188"/>
        <v>0</v>
      </c>
      <c r="AA1049" t="str">
        <f>INDEX('Priority activities'!$D$5:$D$86,MATCH('Database for analysis'!C1049,'Priority activities'!$C$5:$C$86,0))</f>
        <v>FP governance structure and program coordination</v>
      </c>
    </row>
    <row r="1050" spans="2:27" ht="16.5" thickTop="1" thickBot="1" x14ac:dyDescent="0.3">
      <c r="B1050" t="s">
        <v>727</v>
      </c>
      <c r="C1050" s="22" t="str">
        <f>'Costing inputs'!$C$493</f>
        <v>FP division equipment - renewal or scaling up (SMC1.1)</v>
      </c>
      <c r="D1050" s="22" t="str">
        <f>'Costing inputs'!$U$493</f>
        <v>Central level</v>
      </c>
      <c r="E1050" s="22" t="str">
        <f>'Regional splits'!$J$14</f>
        <v>North Western</v>
      </c>
      <c r="F1050">
        <v>0</v>
      </c>
      <c r="G1050">
        <v>0</v>
      </c>
      <c r="H1050">
        <v>0</v>
      </c>
      <c r="I1050">
        <v>0</v>
      </c>
      <c r="J1050">
        <v>0</v>
      </c>
      <c r="K1050">
        <v>0</v>
      </c>
      <c r="L1050">
        <v>0</v>
      </c>
      <c r="M1050">
        <v>0</v>
      </c>
      <c r="N1050">
        <v>0</v>
      </c>
      <c r="O1050">
        <v>0</v>
      </c>
      <c r="P1050" s="5">
        <f t="shared" si="178"/>
        <v>0</v>
      </c>
      <c r="Q1050">
        <f t="shared" si="179"/>
        <v>0</v>
      </c>
      <c r="R1050">
        <f t="shared" si="180"/>
        <v>0</v>
      </c>
      <c r="S1050">
        <f t="shared" si="181"/>
        <v>0</v>
      </c>
      <c r="T1050">
        <f t="shared" si="182"/>
        <v>0</v>
      </c>
      <c r="U1050">
        <f t="shared" si="183"/>
        <v>0</v>
      </c>
      <c r="V1050">
        <f t="shared" si="184"/>
        <v>0</v>
      </c>
      <c r="W1050">
        <f t="shared" si="185"/>
        <v>0</v>
      </c>
      <c r="X1050">
        <f t="shared" si="186"/>
        <v>0</v>
      </c>
      <c r="Y1050">
        <f t="shared" si="187"/>
        <v>0</v>
      </c>
      <c r="Z1050">
        <f t="shared" si="188"/>
        <v>0</v>
      </c>
      <c r="AA1050" t="str">
        <f>INDEX('Priority activities'!$D$5:$D$86,MATCH('Database for analysis'!C1050,'Priority activities'!$C$5:$C$86,0))</f>
        <v>FP governance structure and program coordination</v>
      </c>
    </row>
    <row r="1051" spans="2:27" ht="16.5" thickTop="1" thickBot="1" x14ac:dyDescent="0.3">
      <c r="B1051" t="s">
        <v>727</v>
      </c>
      <c r="C1051" s="22" t="str">
        <f>'Costing inputs'!$C$493</f>
        <v>FP division equipment - renewal or scaling up (SMC1.1)</v>
      </c>
      <c r="D1051" s="22" t="str">
        <f>'Costing inputs'!$U$493</f>
        <v>Central level</v>
      </c>
      <c r="E1051" s="22" t="str">
        <f>'Regional splits'!$K$14</f>
        <v>Southern</v>
      </c>
      <c r="F1051">
        <v>0</v>
      </c>
      <c r="G1051">
        <v>0</v>
      </c>
      <c r="H1051">
        <v>0</v>
      </c>
      <c r="I1051">
        <v>0</v>
      </c>
      <c r="J1051">
        <v>0</v>
      </c>
      <c r="K1051">
        <v>0</v>
      </c>
      <c r="L1051">
        <v>0</v>
      </c>
      <c r="M1051">
        <v>0</v>
      </c>
      <c r="N1051">
        <v>0</v>
      </c>
      <c r="O1051">
        <v>0</v>
      </c>
      <c r="P1051" s="5">
        <f t="shared" si="178"/>
        <v>0</v>
      </c>
      <c r="Q1051">
        <f t="shared" si="179"/>
        <v>0</v>
      </c>
      <c r="R1051">
        <f t="shared" si="180"/>
        <v>0</v>
      </c>
      <c r="S1051">
        <f t="shared" si="181"/>
        <v>0</v>
      </c>
      <c r="T1051">
        <f t="shared" si="182"/>
        <v>0</v>
      </c>
      <c r="U1051">
        <f t="shared" si="183"/>
        <v>0</v>
      </c>
      <c r="V1051">
        <f t="shared" si="184"/>
        <v>0</v>
      </c>
      <c r="W1051">
        <f t="shared" si="185"/>
        <v>0</v>
      </c>
      <c r="X1051">
        <f t="shared" si="186"/>
        <v>0</v>
      </c>
      <c r="Y1051">
        <f t="shared" si="187"/>
        <v>0</v>
      </c>
      <c r="Z1051">
        <f t="shared" si="188"/>
        <v>0</v>
      </c>
      <c r="AA1051" t="str">
        <f>INDEX('Priority activities'!$D$5:$D$86,MATCH('Database for analysis'!C1051,'Priority activities'!$C$5:$C$86,0))</f>
        <v>FP governance structure and program coordination</v>
      </c>
    </row>
    <row r="1052" spans="2:27" ht="16.5" thickTop="1" thickBot="1" x14ac:dyDescent="0.3">
      <c r="B1052" t="s">
        <v>727</v>
      </c>
      <c r="C1052" s="22" t="str">
        <f>'Costing inputs'!$C$493</f>
        <v>FP division equipment - renewal or scaling up (SMC1.1)</v>
      </c>
      <c r="D1052" s="22" t="str">
        <f>'Costing inputs'!$U$493</f>
        <v>Central level</v>
      </c>
      <c r="E1052" s="22" t="str">
        <f>'Regional splits'!$L$14</f>
        <v>Western</v>
      </c>
      <c r="F1052">
        <v>0</v>
      </c>
      <c r="G1052">
        <v>0</v>
      </c>
      <c r="H1052">
        <v>0</v>
      </c>
      <c r="I1052">
        <v>0</v>
      </c>
      <c r="J1052">
        <v>0</v>
      </c>
      <c r="K1052">
        <v>0</v>
      </c>
      <c r="L1052">
        <v>0</v>
      </c>
      <c r="M1052">
        <v>0</v>
      </c>
      <c r="N1052">
        <v>0</v>
      </c>
      <c r="O1052">
        <v>0</v>
      </c>
      <c r="P1052" s="5">
        <f t="shared" si="178"/>
        <v>0</v>
      </c>
      <c r="Q1052">
        <f t="shared" si="179"/>
        <v>0</v>
      </c>
      <c r="R1052">
        <f t="shared" si="180"/>
        <v>0</v>
      </c>
      <c r="S1052">
        <f t="shared" si="181"/>
        <v>0</v>
      </c>
      <c r="T1052">
        <f t="shared" si="182"/>
        <v>0</v>
      </c>
      <c r="U1052">
        <f t="shared" si="183"/>
        <v>0</v>
      </c>
      <c r="V1052">
        <f t="shared" si="184"/>
        <v>0</v>
      </c>
      <c r="W1052">
        <f t="shared" si="185"/>
        <v>0</v>
      </c>
      <c r="X1052">
        <f t="shared" si="186"/>
        <v>0</v>
      </c>
      <c r="Y1052">
        <f t="shared" si="187"/>
        <v>0</v>
      </c>
      <c r="Z1052">
        <f t="shared" si="188"/>
        <v>0</v>
      </c>
      <c r="AA1052" t="str">
        <f>INDEX('Priority activities'!$D$5:$D$86,MATCH('Database for analysis'!C1052,'Priority activities'!$C$5:$C$86,0))</f>
        <v>FP governance structure and program coordination</v>
      </c>
    </row>
    <row r="1053" spans="2:27" ht="16.5" thickTop="1" thickBot="1" x14ac:dyDescent="0.3">
      <c r="B1053" t="s">
        <v>727</v>
      </c>
      <c r="C1053" s="22" t="str">
        <f>'Costing inputs'!$C$493</f>
        <v>FP division equipment - renewal or scaling up (SMC1.1)</v>
      </c>
      <c r="D1053" s="22" t="str">
        <f>'Costing inputs'!$U$493</f>
        <v>Central level</v>
      </c>
      <c r="E1053" s="22">
        <f>'Regional splits'!$M$14</f>
        <v>0</v>
      </c>
      <c r="F1053">
        <v>0</v>
      </c>
      <c r="G1053">
        <v>0</v>
      </c>
      <c r="H1053">
        <v>0</v>
      </c>
      <c r="I1053">
        <v>0</v>
      </c>
      <c r="J1053">
        <v>0</v>
      </c>
      <c r="K1053">
        <v>0</v>
      </c>
      <c r="L1053">
        <v>0</v>
      </c>
      <c r="M1053">
        <v>0</v>
      </c>
      <c r="N1053">
        <v>0</v>
      </c>
      <c r="O1053">
        <v>0</v>
      </c>
      <c r="P1053" s="5">
        <f t="shared" si="178"/>
        <v>0</v>
      </c>
      <c r="Q1053">
        <f t="shared" si="179"/>
        <v>0</v>
      </c>
      <c r="R1053">
        <f t="shared" si="180"/>
        <v>0</v>
      </c>
      <c r="S1053">
        <f t="shared" si="181"/>
        <v>0</v>
      </c>
      <c r="T1053">
        <f t="shared" si="182"/>
        <v>0</v>
      </c>
      <c r="U1053">
        <f t="shared" si="183"/>
        <v>0</v>
      </c>
      <c r="V1053">
        <f t="shared" si="184"/>
        <v>0</v>
      </c>
      <c r="W1053">
        <f t="shared" si="185"/>
        <v>0</v>
      </c>
      <c r="X1053">
        <f t="shared" si="186"/>
        <v>0</v>
      </c>
      <c r="Y1053">
        <f t="shared" si="187"/>
        <v>0</v>
      </c>
      <c r="Z1053">
        <f t="shared" si="188"/>
        <v>0</v>
      </c>
      <c r="AA1053" t="str">
        <f>INDEX('Priority activities'!$D$5:$D$86,MATCH('Database for analysis'!C1053,'Priority activities'!$C$5:$C$86,0))</f>
        <v>FP governance structure and program coordination</v>
      </c>
    </row>
    <row r="1054" spans="2:27" ht="16.5" thickTop="1" thickBot="1" x14ac:dyDescent="0.3">
      <c r="B1054" t="s">
        <v>727</v>
      </c>
      <c r="C1054" s="22" t="str">
        <f>'Costing inputs'!$C$493</f>
        <v>FP division equipment - renewal or scaling up (SMC1.1)</v>
      </c>
      <c r="D1054" s="22" t="str">
        <f>'Costing inputs'!$U$493</f>
        <v>Central level</v>
      </c>
      <c r="E1054" s="22">
        <f>'Regional splits'!$N$14</f>
        <v>0</v>
      </c>
      <c r="F1054">
        <v>0</v>
      </c>
      <c r="G1054">
        <v>0</v>
      </c>
      <c r="H1054">
        <v>0</v>
      </c>
      <c r="I1054">
        <v>0</v>
      </c>
      <c r="J1054">
        <v>0</v>
      </c>
      <c r="K1054">
        <v>0</v>
      </c>
      <c r="L1054">
        <v>0</v>
      </c>
      <c r="M1054">
        <v>0</v>
      </c>
      <c r="N1054">
        <v>0</v>
      </c>
      <c r="O1054">
        <v>0</v>
      </c>
      <c r="P1054" s="5">
        <f t="shared" si="178"/>
        <v>0</v>
      </c>
      <c r="Q1054">
        <f t="shared" si="179"/>
        <v>0</v>
      </c>
      <c r="R1054">
        <f t="shared" si="180"/>
        <v>0</v>
      </c>
      <c r="S1054">
        <f t="shared" si="181"/>
        <v>0</v>
      </c>
      <c r="T1054">
        <f t="shared" si="182"/>
        <v>0</v>
      </c>
      <c r="U1054">
        <f t="shared" si="183"/>
        <v>0</v>
      </c>
      <c r="V1054">
        <f t="shared" si="184"/>
        <v>0</v>
      </c>
      <c r="W1054">
        <f t="shared" si="185"/>
        <v>0</v>
      </c>
      <c r="X1054">
        <f t="shared" si="186"/>
        <v>0</v>
      </c>
      <c r="Y1054">
        <f t="shared" si="187"/>
        <v>0</v>
      </c>
      <c r="Z1054">
        <f t="shared" si="188"/>
        <v>0</v>
      </c>
      <c r="AA1054" t="str">
        <f>INDEX('Priority activities'!$D$5:$D$86,MATCH('Database for analysis'!C1054,'Priority activities'!$C$5:$C$86,0))</f>
        <v>FP governance structure and program coordination</v>
      </c>
    </row>
    <row r="1055" spans="2:27" ht="16.5" thickTop="1" thickBot="1" x14ac:dyDescent="0.3">
      <c r="B1055" t="s">
        <v>727</v>
      </c>
      <c r="C1055" s="22" t="str">
        <f>'Costing inputs'!$C$493</f>
        <v>FP division equipment - renewal or scaling up (SMC1.1)</v>
      </c>
      <c r="D1055" s="22" t="str">
        <f>'Costing inputs'!$U$493</f>
        <v>Central level</v>
      </c>
      <c r="E1055" s="22">
        <f>'Regional splits'!$O$14</f>
        <v>0</v>
      </c>
      <c r="F1055">
        <v>0</v>
      </c>
      <c r="G1055">
        <v>0</v>
      </c>
      <c r="H1055">
        <v>0</v>
      </c>
      <c r="I1055">
        <v>0</v>
      </c>
      <c r="J1055">
        <v>0</v>
      </c>
      <c r="K1055">
        <v>0</v>
      </c>
      <c r="L1055">
        <v>0</v>
      </c>
      <c r="M1055">
        <v>0</v>
      </c>
      <c r="N1055">
        <v>0</v>
      </c>
      <c r="O1055">
        <v>0</v>
      </c>
      <c r="P1055" s="5">
        <f t="shared" si="178"/>
        <v>0</v>
      </c>
      <c r="Q1055">
        <f t="shared" si="179"/>
        <v>0</v>
      </c>
      <c r="R1055">
        <f t="shared" si="180"/>
        <v>0</v>
      </c>
      <c r="S1055">
        <f t="shared" si="181"/>
        <v>0</v>
      </c>
      <c r="T1055">
        <f t="shared" si="182"/>
        <v>0</v>
      </c>
      <c r="U1055">
        <f t="shared" si="183"/>
        <v>0</v>
      </c>
      <c r="V1055">
        <f t="shared" si="184"/>
        <v>0</v>
      </c>
      <c r="W1055">
        <f t="shared" si="185"/>
        <v>0</v>
      </c>
      <c r="X1055">
        <f t="shared" si="186"/>
        <v>0</v>
      </c>
      <c r="Y1055">
        <f t="shared" si="187"/>
        <v>0</v>
      </c>
      <c r="Z1055">
        <f t="shared" si="188"/>
        <v>0</v>
      </c>
      <c r="AA1055" t="str">
        <f>INDEX('Priority activities'!$D$5:$D$86,MATCH('Database for analysis'!C1055,'Priority activities'!$C$5:$C$86,0))</f>
        <v>FP governance structure and program coordination</v>
      </c>
    </row>
    <row r="1056" spans="2:27" ht="16.5" thickTop="1" thickBot="1" x14ac:dyDescent="0.3">
      <c r="B1056" t="s">
        <v>727</v>
      </c>
      <c r="C1056" s="22" t="str">
        <f>'Costing inputs'!$C$493</f>
        <v>FP division equipment - renewal or scaling up (SMC1.1)</v>
      </c>
      <c r="D1056" s="22" t="str">
        <f>'Costing inputs'!$U$493</f>
        <v>Central level</v>
      </c>
      <c r="E1056" s="22">
        <f>'Regional splits'!$P$14</f>
        <v>0</v>
      </c>
      <c r="F1056">
        <v>0</v>
      </c>
      <c r="G1056">
        <v>0</v>
      </c>
      <c r="H1056">
        <v>0</v>
      </c>
      <c r="I1056">
        <v>0</v>
      </c>
      <c r="J1056">
        <v>0</v>
      </c>
      <c r="K1056">
        <v>0</v>
      </c>
      <c r="L1056">
        <v>0</v>
      </c>
      <c r="M1056">
        <v>0</v>
      </c>
      <c r="N1056">
        <v>0</v>
      </c>
      <c r="O1056">
        <v>0</v>
      </c>
      <c r="P1056" s="5">
        <f t="shared" si="178"/>
        <v>0</v>
      </c>
      <c r="Q1056">
        <f t="shared" si="179"/>
        <v>0</v>
      </c>
      <c r="R1056">
        <f t="shared" si="180"/>
        <v>0</v>
      </c>
      <c r="S1056">
        <f t="shared" si="181"/>
        <v>0</v>
      </c>
      <c r="T1056">
        <f t="shared" si="182"/>
        <v>0</v>
      </c>
      <c r="U1056">
        <f t="shared" si="183"/>
        <v>0</v>
      </c>
      <c r="V1056">
        <f t="shared" si="184"/>
        <v>0</v>
      </c>
      <c r="W1056">
        <f t="shared" si="185"/>
        <v>0</v>
      </c>
      <c r="X1056">
        <f t="shared" si="186"/>
        <v>0</v>
      </c>
      <c r="Y1056">
        <f t="shared" si="187"/>
        <v>0</v>
      </c>
      <c r="Z1056">
        <f t="shared" si="188"/>
        <v>0</v>
      </c>
      <c r="AA1056" t="str">
        <f>INDEX('Priority activities'!$D$5:$D$86,MATCH('Database for analysis'!C1056,'Priority activities'!$C$5:$C$86,0))</f>
        <v>FP governance structure and program coordination</v>
      </c>
    </row>
    <row r="1057" spans="2:27" ht="16.5" thickTop="1" thickBot="1" x14ac:dyDescent="0.3">
      <c r="B1057" t="s">
        <v>727</v>
      </c>
      <c r="C1057" s="22" t="str">
        <f>'Costing inputs'!$C$493</f>
        <v>FP division equipment - renewal or scaling up (SMC1.1)</v>
      </c>
      <c r="D1057" s="22" t="str">
        <f>'Costing inputs'!$U$493</f>
        <v>Central level</v>
      </c>
      <c r="E1057" s="22">
        <f>'Regional splits'!$Q$14</f>
        <v>0</v>
      </c>
      <c r="F1057">
        <v>0</v>
      </c>
      <c r="G1057">
        <v>0</v>
      </c>
      <c r="H1057">
        <v>0</v>
      </c>
      <c r="I1057">
        <v>0</v>
      </c>
      <c r="J1057">
        <v>0</v>
      </c>
      <c r="K1057">
        <v>0</v>
      </c>
      <c r="L1057">
        <v>0</v>
      </c>
      <c r="M1057">
        <v>0</v>
      </c>
      <c r="N1057">
        <v>0</v>
      </c>
      <c r="O1057">
        <v>0</v>
      </c>
      <c r="P1057" s="5">
        <f t="shared" si="178"/>
        <v>0</v>
      </c>
      <c r="Q1057">
        <f t="shared" si="179"/>
        <v>0</v>
      </c>
      <c r="R1057">
        <f t="shared" si="180"/>
        <v>0</v>
      </c>
      <c r="S1057">
        <f t="shared" si="181"/>
        <v>0</v>
      </c>
      <c r="T1057">
        <f t="shared" si="182"/>
        <v>0</v>
      </c>
      <c r="U1057">
        <f t="shared" si="183"/>
        <v>0</v>
      </c>
      <c r="V1057">
        <f t="shared" si="184"/>
        <v>0</v>
      </c>
      <c r="W1057">
        <f t="shared" si="185"/>
        <v>0</v>
      </c>
      <c r="X1057">
        <f t="shared" si="186"/>
        <v>0</v>
      </c>
      <c r="Y1057">
        <f t="shared" si="187"/>
        <v>0</v>
      </c>
      <c r="Z1057">
        <f t="shared" si="188"/>
        <v>0</v>
      </c>
      <c r="AA1057" t="str">
        <f>INDEX('Priority activities'!$D$5:$D$86,MATCH('Database for analysis'!C1057,'Priority activities'!$C$5:$C$86,0))</f>
        <v>FP governance structure and program coordination</v>
      </c>
    </row>
    <row r="1058" spans="2:27" ht="16.5" thickTop="1" thickBot="1" x14ac:dyDescent="0.3">
      <c r="B1058" t="s">
        <v>727</v>
      </c>
      <c r="C1058" s="22" t="str">
        <f>'Costing inputs'!$C$493</f>
        <v>FP division equipment - renewal or scaling up (SMC1.1)</v>
      </c>
      <c r="D1058" s="22" t="str">
        <f>'Costing inputs'!$U$493</f>
        <v>Central level</v>
      </c>
      <c r="E1058" s="22" t="str">
        <f>'Regional splits'!$R$14</f>
        <v>National-level</v>
      </c>
      <c r="F1058">
        <v>0</v>
      </c>
      <c r="G1058">
        <v>0</v>
      </c>
      <c r="H1058">
        <v>0</v>
      </c>
      <c r="I1058">
        <v>0</v>
      </c>
      <c r="J1058">
        <v>43200</v>
      </c>
      <c r="K1058">
        <v>0</v>
      </c>
      <c r="L1058">
        <v>0</v>
      </c>
      <c r="M1058">
        <v>0</v>
      </c>
      <c r="N1058">
        <v>0</v>
      </c>
      <c r="O1058">
        <v>0</v>
      </c>
      <c r="P1058" s="5">
        <f t="shared" si="178"/>
        <v>43200</v>
      </c>
      <c r="Q1058">
        <f t="shared" si="179"/>
        <v>0</v>
      </c>
      <c r="R1058">
        <f t="shared" si="180"/>
        <v>0</v>
      </c>
      <c r="S1058">
        <f t="shared" si="181"/>
        <v>0</v>
      </c>
      <c r="T1058">
        <f t="shared" si="182"/>
        <v>0</v>
      </c>
      <c r="U1058">
        <f t="shared" si="183"/>
        <v>43200</v>
      </c>
      <c r="V1058">
        <f t="shared" si="184"/>
        <v>0</v>
      </c>
      <c r="W1058">
        <f t="shared" si="185"/>
        <v>0</v>
      </c>
      <c r="X1058">
        <f t="shared" si="186"/>
        <v>0</v>
      </c>
      <c r="Y1058">
        <f t="shared" si="187"/>
        <v>0</v>
      </c>
      <c r="Z1058">
        <f t="shared" si="188"/>
        <v>0</v>
      </c>
      <c r="AA1058" t="str">
        <f>INDEX('Priority activities'!$D$5:$D$86,MATCH('Database for analysis'!C1058,'Priority activities'!$C$5:$C$86,0))</f>
        <v>FP governance structure and program coordination</v>
      </c>
    </row>
    <row r="1059" spans="2:27" ht="16.5" thickTop="1" thickBot="1" x14ac:dyDescent="0.3">
      <c r="B1059" t="s">
        <v>727</v>
      </c>
      <c r="C1059" s="22" t="str">
        <f>'Costing inputs'!$C$496</f>
        <v>FP division equipment - ongoing (SMC1.1)</v>
      </c>
      <c r="D1059" s="22" t="str">
        <f>'Costing inputs'!$U$496</f>
        <v>Central level</v>
      </c>
      <c r="E1059" s="22" t="str">
        <f>'Regional splits'!$C$14</f>
        <v>Central</v>
      </c>
      <c r="F1059">
        <f t="array" ref="F1059:O1074">'Costing inputs'!S496*'Costing inputs'!AP496:AY496*TRANSPOSE('Costing inputs'!W496:AL496)</f>
        <v>0</v>
      </c>
      <c r="G1059">
        <v>0</v>
      </c>
      <c r="H1059">
        <v>0</v>
      </c>
      <c r="I1059">
        <v>0</v>
      </c>
      <c r="J1059">
        <v>0</v>
      </c>
      <c r="K1059">
        <v>0</v>
      </c>
      <c r="L1059">
        <v>0</v>
      </c>
      <c r="M1059">
        <v>0</v>
      </c>
      <c r="N1059">
        <v>0</v>
      </c>
      <c r="O1059">
        <v>0</v>
      </c>
      <c r="P1059" s="5">
        <f t="shared" si="178"/>
        <v>0</v>
      </c>
      <c r="Q1059">
        <f t="shared" si="179"/>
        <v>0</v>
      </c>
      <c r="R1059">
        <f t="shared" si="180"/>
        <v>0</v>
      </c>
      <c r="S1059">
        <f t="shared" si="181"/>
        <v>0</v>
      </c>
      <c r="T1059">
        <f t="shared" si="182"/>
        <v>0</v>
      </c>
      <c r="U1059">
        <f t="shared" si="183"/>
        <v>0</v>
      </c>
      <c r="V1059">
        <f t="shared" si="184"/>
        <v>0</v>
      </c>
      <c r="W1059">
        <f t="shared" si="185"/>
        <v>0</v>
      </c>
      <c r="X1059">
        <f t="shared" si="186"/>
        <v>0</v>
      </c>
      <c r="Y1059">
        <f t="shared" si="187"/>
        <v>0</v>
      </c>
      <c r="Z1059">
        <f t="shared" si="188"/>
        <v>0</v>
      </c>
      <c r="AA1059" t="str">
        <f>INDEX('Priority activities'!$D$5:$D$86,MATCH('Database for analysis'!C1059,'Priority activities'!$C$5:$C$86,0))</f>
        <v>n/a</v>
      </c>
    </row>
    <row r="1060" spans="2:27" ht="16.5" thickTop="1" thickBot="1" x14ac:dyDescent="0.3">
      <c r="B1060" t="s">
        <v>727</v>
      </c>
      <c r="C1060" s="22" t="str">
        <f>'Costing inputs'!$C$496</f>
        <v>FP division equipment - ongoing (SMC1.1)</v>
      </c>
      <c r="D1060" s="22" t="str">
        <f>'Costing inputs'!$U$496</f>
        <v>Central level</v>
      </c>
      <c r="E1060" s="22" t="str">
        <f>'Regional splits'!$D$14</f>
        <v>Copperbelt</v>
      </c>
      <c r="F1060">
        <v>0</v>
      </c>
      <c r="G1060">
        <v>0</v>
      </c>
      <c r="H1060">
        <v>0</v>
      </c>
      <c r="I1060">
        <v>0</v>
      </c>
      <c r="J1060">
        <v>0</v>
      </c>
      <c r="K1060">
        <v>0</v>
      </c>
      <c r="L1060">
        <v>0</v>
      </c>
      <c r="M1060">
        <v>0</v>
      </c>
      <c r="N1060">
        <v>0</v>
      </c>
      <c r="O1060">
        <v>0</v>
      </c>
      <c r="P1060" s="5">
        <f t="shared" si="178"/>
        <v>0</v>
      </c>
      <c r="Q1060">
        <f t="shared" si="179"/>
        <v>0</v>
      </c>
      <c r="R1060">
        <f t="shared" si="180"/>
        <v>0</v>
      </c>
      <c r="S1060">
        <f t="shared" si="181"/>
        <v>0</v>
      </c>
      <c r="T1060">
        <f t="shared" si="182"/>
        <v>0</v>
      </c>
      <c r="U1060">
        <f t="shared" si="183"/>
        <v>0</v>
      </c>
      <c r="V1060">
        <f t="shared" si="184"/>
        <v>0</v>
      </c>
      <c r="W1060">
        <f t="shared" si="185"/>
        <v>0</v>
      </c>
      <c r="X1060">
        <f t="shared" si="186"/>
        <v>0</v>
      </c>
      <c r="Y1060">
        <f t="shared" si="187"/>
        <v>0</v>
      </c>
      <c r="Z1060">
        <f t="shared" si="188"/>
        <v>0</v>
      </c>
      <c r="AA1060" t="str">
        <f>INDEX('Priority activities'!$D$5:$D$86,MATCH('Database for analysis'!C1060,'Priority activities'!$C$5:$C$86,0))</f>
        <v>n/a</v>
      </c>
    </row>
    <row r="1061" spans="2:27" ht="16.5" thickTop="1" thickBot="1" x14ac:dyDescent="0.3">
      <c r="B1061" t="s">
        <v>727</v>
      </c>
      <c r="C1061" s="22" t="str">
        <f>'Costing inputs'!$C$496</f>
        <v>FP division equipment - ongoing (SMC1.1)</v>
      </c>
      <c r="D1061" s="22" t="str">
        <f>'Costing inputs'!$U$496</f>
        <v>Central level</v>
      </c>
      <c r="E1061" s="22" t="str">
        <f>'Regional splits'!$E$14</f>
        <v>Eastern</v>
      </c>
      <c r="F1061">
        <v>0</v>
      </c>
      <c r="G1061">
        <v>0</v>
      </c>
      <c r="H1061">
        <v>0</v>
      </c>
      <c r="I1061">
        <v>0</v>
      </c>
      <c r="J1061">
        <v>0</v>
      </c>
      <c r="K1061">
        <v>0</v>
      </c>
      <c r="L1061">
        <v>0</v>
      </c>
      <c r="M1061">
        <v>0</v>
      </c>
      <c r="N1061">
        <v>0</v>
      </c>
      <c r="O1061">
        <v>0</v>
      </c>
      <c r="P1061" s="5">
        <f t="shared" si="178"/>
        <v>0</v>
      </c>
      <c r="Q1061">
        <f t="shared" si="179"/>
        <v>0</v>
      </c>
      <c r="R1061">
        <f t="shared" si="180"/>
        <v>0</v>
      </c>
      <c r="S1061">
        <f t="shared" si="181"/>
        <v>0</v>
      </c>
      <c r="T1061">
        <f t="shared" si="182"/>
        <v>0</v>
      </c>
      <c r="U1061">
        <f t="shared" si="183"/>
        <v>0</v>
      </c>
      <c r="V1061">
        <f t="shared" si="184"/>
        <v>0</v>
      </c>
      <c r="W1061">
        <f t="shared" si="185"/>
        <v>0</v>
      </c>
      <c r="X1061">
        <f t="shared" si="186"/>
        <v>0</v>
      </c>
      <c r="Y1061">
        <f t="shared" si="187"/>
        <v>0</v>
      </c>
      <c r="Z1061">
        <f t="shared" si="188"/>
        <v>0</v>
      </c>
      <c r="AA1061" t="str">
        <f>INDEX('Priority activities'!$D$5:$D$86,MATCH('Database for analysis'!C1061,'Priority activities'!$C$5:$C$86,0))</f>
        <v>n/a</v>
      </c>
    </row>
    <row r="1062" spans="2:27" ht="16.5" thickTop="1" thickBot="1" x14ac:dyDescent="0.3">
      <c r="B1062" t="s">
        <v>727</v>
      </c>
      <c r="C1062" s="22" t="str">
        <f>'Costing inputs'!$C$496</f>
        <v>FP division equipment - ongoing (SMC1.1)</v>
      </c>
      <c r="D1062" s="22" t="str">
        <f>'Costing inputs'!$U$496</f>
        <v>Central level</v>
      </c>
      <c r="E1062" s="22" t="str">
        <f>'Regional splits'!$F$14</f>
        <v>Luapula</v>
      </c>
      <c r="F1062">
        <v>0</v>
      </c>
      <c r="G1062">
        <v>0</v>
      </c>
      <c r="H1062">
        <v>0</v>
      </c>
      <c r="I1062">
        <v>0</v>
      </c>
      <c r="J1062">
        <v>0</v>
      </c>
      <c r="K1062">
        <v>0</v>
      </c>
      <c r="L1062">
        <v>0</v>
      </c>
      <c r="M1062">
        <v>0</v>
      </c>
      <c r="N1062">
        <v>0</v>
      </c>
      <c r="O1062">
        <v>0</v>
      </c>
      <c r="P1062" s="5">
        <f t="shared" si="178"/>
        <v>0</v>
      </c>
      <c r="Q1062">
        <f t="shared" si="179"/>
        <v>0</v>
      </c>
      <c r="R1062">
        <f t="shared" si="180"/>
        <v>0</v>
      </c>
      <c r="S1062">
        <f t="shared" si="181"/>
        <v>0</v>
      </c>
      <c r="T1062">
        <f t="shared" si="182"/>
        <v>0</v>
      </c>
      <c r="U1062">
        <f t="shared" si="183"/>
        <v>0</v>
      </c>
      <c r="V1062">
        <f t="shared" si="184"/>
        <v>0</v>
      </c>
      <c r="W1062">
        <f t="shared" si="185"/>
        <v>0</v>
      </c>
      <c r="X1062">
        <f t="shared" si="186"/>
        <v>0</v>
      </c>
      <c r="Y1062">
        <f t="shared" si="187"/>
        <v>0</v>
      </c>
      <c r="Z1062">
        <f t="shared" si="188"/>
        <v>0</v>
      </c>
      <c r="AA1062" t="str">
        <f>INDEX('Priority activities'!$D$5:$D$86,MATCH('Database for analysis'!C1062,'Priority activities'!$C$5:$C$86,0))</f>
        <v>n/a</v>
      </c>
    </row>
    <row r="1063" spans="2:27" ht="16.5" thickTop="1" thickBot="1" x14ac:dyDescent="0.3">
      <c r="B1063" t="s">
        <v>727</v>
      </c>
      <c r="C1063" s="22" t="str">
        <f>'Costing inputs'!$C$496</f>
        <v>FP division equipment - ongoing (SMC1.1)</v>
      </c>
      <c r="D1063" s="22" t="str">
        <f>'Costing inputs'!$U$496</f>
        <v>Central level</v>
      </c>
      <c r="E1063" s="22" t="str">
        <f>'Regional splits'!$G$14</f>
        <v>Lusaka</v>
      </c>
      <c r="F1063">
        <v>0</v>
      </c>
      <c r="G1063">
        <v>0</v>
      </c>
      <c r="H1063">
        <v>0</v>
      </c>
      <c r="I1063">
        <v>0</v>
      </c>
      <c r="J1063">
        <v>0</v>
      </c>
      <c r="K1063">
        <v>0</v>
      </c>
      <c r="L1063">
        <v>0</v>
      </c>
      <c r="M1063">
        <v>0</v>
      </c>
      <c r="N1063">
        <v>0</v>
      </c>
      <c r="O1063">
        <v>0</v>
      </c>
      <c r="P1063" s="5">
        <f t="shared" si="178"/>
        <v>0</v>
      </c>
      <c r="Q1063">
        <f t="shared" si="179"/>
        <v>0</v>
      </c>
      <c r="R1063">
        <f t="shared" si="180"/>
        <v>0</v>
      </c>
      <c r="S1063">
        <f t="shared" si="181"/>
        <v>0</v>
      </c>
      <c r="T1063">
        <f t="shared" si="182"/>
        <v>0</v>
      </c>
      <c r="U1063">
        <f t="shared" si="183"/>
        <v>0</v>
      </c>
      <c r="V1063">
        <f t="shared" si="184"/>
        <v>0</v>
      </c>
      <c r="W1063">
        <f t="shared" si="185"/>
        <v>0</v>
      </c>
      <c r="X1063">
        <f t="shared" si="186"/>
        <v>0</v>
      </c>
      <c r="Y1063">
        <f t="shared" si="187"/>
        <v>0</v>
      </c>
      <c r="Z1063">
        <f t="shared" si="188"/>
        <v>0</v>
      </c>
      <c r="AA1063" t="str">
        <f>INDEX('Priority activities'!$D$5:$D$86,MATCH('Database for analysis'!C1063,'Priority activities'!$C$5:$C$86,0))</f>
        <v>n/a</v>
      </c>
    </row>
    <row r="1064" spans="2:27" ht="16.5" thickTop="1" thickBot="1" x14ac:dyDescent="0.3">
      <c r="B1064" t="s">
        <v>727</v>
      </c>
      <c r="C1064" s="22" t="str">
        <f>'Costing inputs'!$C$496</f>
        <v>FP division equipment - ongoing (SMC1.1)</v>
      </c>
      <c r="D1064" s="22" t="str">
        <f>'Costing inputs'!$U$496</f>
        <v>Central level</v>
      </c>
      <c r="E1064" s="22" t="str">
        <f>'Regional splits'!$H$14</f>
        <v>Muchinga</v>
      </c>
      <c r="F1064">
        <v>0</v>
      </c>
      <c r="G1064">
        <v>0</v>
      </c>
      <c r="H1064">
        <v>0</v>
      </c>
      <c r="I1064">
        <v>0</v>
      </c>
      <c r="J1064">
        <v>0</v>
      </c>
      <c r="K1064">
        <v>0</v>
      </c>
      <c r="L1064">
        <v>0</v>
      </c>
      <c r="M1064">
        <v>0</v>
      </c>
      <c r="N1064">
        <v>0</v>
      </c>
      <c r="O1064">
        <v>0</v>
      </c>
      <c r="P1064" s="5">
        <f t="shared" si="178"/>
        <v>0</v>
      </c>
      <c r="Q1064">
        <f t="shared" si="179"/>
        <v>0</v>
      </c>
      <c r="R1064">
        <f t="shared" si="180"/>
        <v>0</v>
      </c>
      <c r="S1064">
        <f t="shared" si="181"/>
        <v>0</v>
      </c>
      <c r="T1064">
        <f t="shared" si="182"/>
        <v>0</v>
      </c>
      <c r="U1064">
        <f t="shared" si="183"/>
        <v>0</v>
      </c>
      <c r="V1064">
        <f t="shared" si="184"/>
        <v>0</v>
      </c>
      <c r="W1064">
        <f t="shared" si="185"/>
        <v>0</v>
      </c>
      <c r="X1064">
        <f t="shared" si="186"/>
        <v>0</v>
      </c>
      <c r="Y1064">
        <f t="shared" si="187"/>
        <v>0</v>
      </c>
      <c r="Z1064">
        <f t="shared" si="188"/>
        <v>0</v>
      </c>
      <c r="AA1064" t="str">
        <f>INDEX('Priority activities'!$D$5:$D$86,MATCH('Database for analysis'!C1064,'Priority activities'!$C$5:$C$86,0))</f>
        <v>n/a</v>
      </c>
    </row>
    <row r="1065" spans="2:27" ht="16.5" thickTop="1" thickBot="1" x14ac:dyDescent="0.3">
      <c r="B1065" t="s">
        <v>727</v>
      </c>
      <c r="C1065" s="22" t="str">
        <f>'Costing inputs'!$C$496</f>
        <v>FP division equipment - ongoing (SMC1.1)</v>
      </c>
      <c r="D1065" s="22" t="str">
        <f>'Costing inputs'!$U$496</f>
        <v>Central level</v>
      </c>
      <c r="E1065" s="22" t="str">
        <f>'Regional splits'!$I$14</f>
        <v>Northern</v>
      </c>
      <c r="F1065">
        <v>0</v>
      </c>
      <c r="G1065">
        <v>0</v>
      </c>
      <c r="H1065">
        <v>0</v>
      </c>
      <c r="I1065">
        <v>0</v>
      </c>
      <c r="J1065">
        <v>0</v>
      </c>
      <c r="K1065">
        <v>0</v>
      </c>
      <c r="L1065">
        <v>0</v>
      </c>
      <c r="M1065">
        <v>0</v>
      </c>
      <c r="N1065">
        <v>0</v>
      </c>
      <c r="O1065">
        <v>0</v>
      </c>
      <c r="P1065" s="5">
        <f t="shared" si="178"/>
        <v>0</v>
      </c>
      <c r="Q1065">
        <f t="shared" si="179"/>
        <v>0</v>
      </c>
      <c r="R1065">
        <f t="shared" si="180"/>
        <v>0</v>
      </c>
      <c r="S1065">
        <f t="shared" si="181"/>
        <v>0</v>
      </c>
      <c r="T1065">
        <f t="shared" si="182"/>
        <v>0</v>
      </c>
      <c r="U1065">
        <f t="shared" si="183"/>
        <v>0</v>
      </c>
      <c r="V1065">
        <f t="shared" si="184"/>
        <v>0</v>
      </c>
      <c r="W1065">
        <f t="shared" si="185"/>
        <v>0</v>
      </c>
      <c r="X1065">
        <f t="shared" si="186"/>
        <v>0</v>
      </c>
      <c r="Y1065">
        <f t="shared" si="187"/>
        <v>0</v>
      </c>
      <c r="Z1065">
        <f t="shared" si="188"/>
        <v>0</v>
      </c>
      <c r="AA1065" t="str">
        <f>INDEX('Priority activities'!$D$5:$D$86,MATCH('Database for analysis'!C1065,'Priority activities'!$C$5:$C$86,0))</f>
        <v>n/a</v>
      </c>
    </row>
    <row r="1066" spans="2:27" ht="16.5" thickTop="1" thickBot="1" x14ac:dyDescent="0.3">
      <c r="B1066" t="s">
        <v>727</v>
      </c>
      <c r="C1066" s="22" t="str">
        <f>'Costing inputs'!$C$496</f>
        <v>FP division equipment - ongoing (SMC1.1)</v>
      </c>
      <c r="D1066" s="22" t="str">
        <f>'Costing inputs'!$U$496</f>
        <v>Central level</v>
      </c>
      <c r="E1066" s="22" t="str">
        <f>'Regional splits'!$J$14</f>
        <v>North Western</v>
      </c>
      <c r="F1066">
        <v>0</v>
      </c>
      <c r="G1066">
        <v>0</v>
      </c>
      <c r="H1066">
        <v>0</v>
      </c>
      <c r="I1066">
        <v>0</v>
      </c>
      <c r="J1066">
        <v>0</v>
      </c>
      <c r="K1066">
        <v>0</v>
      </c>
      <c r="L1066">
        <v>0</v>
      </c>
      <c r="M1066">
        <v>0</v>
      </c>
      <c r="N1066">
        <v>0</v>
      </c>
      <c r="O1066">
        <v>0</v>
      </c>
      <c r="P1066" s="5">
        <f t="shared" si="178"/>
        <v>0</v>
      </c>
      <c r="Q1066">
        <f t="shared" si="179"/>
        <v>0</v>
      </c>
      <c r="R1066">
        <f t="shared" si="180"/>
        <v>0</v>
      </c>
      <c r="S1066">
        <f t="shared" si="181"/>
        <v>0</v>
      </c>
      <c r="T1066">
        <f t="shared" si="182"/>
        <v>0</v>
      </c>
      <c r="U1066">
        <f t="shared" si="183"/>
        <v>0</v>
      </c>
      <c r="V1066">
        <f t="shared" si="184"/>
        <v>0</v>
      </c>
      <c r="W1066">
        <f t="shared" si="185"/>
        <v>0</v>
      </c>
      <c r="X1066">
        <f t="shared" si="186"/>
        <v>0</v>
      </c>
      <c r="Y1066">
        <f t="shared" si="187"/>
        <v>0</v>
      </c>
      <c r="Z1066">
        <f t="shared" si="188"/>
        <v>0</v>
      </c>
      <c r="AA1066" t="str">
        <f>INDEX('Priority activities'!$D$5:$D$86,MATCH('Database for analysis'!C1066,'Priority activities'!$C$5:$C$86,0))</f>
        <v>n/a</v>
      </c>
    </row>
    <row r="1067" spans="2:27" ht="16.5" thickTop="1" thickBot="1" x14ac:dyDescent="0.3">
      <c r="B1067" t="s">
        <v>727</v>
      </c>
      <c r="C1067" s="22" t="str">
        <f>'Costing inputs'!$C$496</f>
        <v>FP division equipment - ongoing (SMC1.1)</v>
      </c>
      <c r="D1067" s="22" t="str">
        <f>'Costing inputs'!$U$496</f>
        <v>Central level</v>
      </c>
      <c r="E1067" s="22" t="str">
        <f>'Regional splits'!$K$14</f>
        <v>Southern</v>
      </c>
      <c r="F1067">
        <v>0</v>
      </c>
      <c r="G1067">
        <v>0</v>
      </c>
      <c r="H1067">
        <v>0</v>
      </c>
      <c r="I1067">
        <v>0</v>
      </c>
      <c r="J1067">
        <v>0</v>
      </c>
      <c r="K1067">
        <v>0</v>
      </c>
      <c r="L1067">
        <v>0</v>
      </c>
      <c r="M1067">
        <v>0</v>
      </c>
      <c r="N1067">
        <v>0</v>
      </c>
      <c r="O1067">
        <v>0</v>
      </c>
      <c r="P1067" s="5">
        <f t="shared" si="178"/>
        <v>0</v>
      </c>
      <c r="Q1067">
        <f t="shared" si="179"/>
        <v>0</v>
      </c>
      <c r="R1067">
        <f t="shared" si="180"/>
        <v>0</v>
      </c>
      <c r="S1067">
        <f t="shared" si="181"/>
        <v>0</v>
      </c>
      <c r="T1067">
        <f t="shared" si="182"/>
        <v>0</v>
      </c>
      <c r="U1067">
        <f t="shared" si="183"/>
        <v>0</v>
      </c>
      <c r="V1067">
        <f t="shared" si="184"/>
        <v>0</v>
      </c>
      <c r="W1067">
        <f t="shared" si="185"/>
        <v>0</v>
      </c>
      <c r="X1067">
        <f t="shared" si="186"/>
        <v>0</v>
      </c>
      <c r="Y1067">
        <f t="shared" si="187"/>
        <v>0</v>
      </c>
      <c r="Z1067">
        <f t="shared" si="188"/>
        <v>0</v>
      </c>
      <c r="AA1067" t="str">
        <f>INDEX('Priority activities'!$D$5:$D$86,MATCH('Database for analysis'!C1067,'Priority activities'!$C$5:$C$86,0))</f>
        <v>n/a</v>
      </c>
    </row>
    <row r="1068" spans="2:27" ht="16.5" thickTop="1" thickBot="1" x14ac:dyDescent="0.3">
      <c r="B1068" t="s">
        <v>727</v>
      </c>
      <c r="C1068" s="22" t="str">
        <f>'Costing inputs'!$C$496</f>
        <v>FP division equipment - ongoing (SMC1.1)</v>
      </c>
      <c r="D1068" s="22" t="str">
        <f>'Costing inputs'!$U$496</f>
        <v>Central level</v>
      </c>
      <c r="E1068" s="22" t="str">
        <f>'Regional splits'!$L$14</f>
        <v>Western</v>
      </c>
      <c r="F1068">
        <v>0</v>
      </c>
      <c r="G1068">
        <v>0</v>
      </c>
      <c r="H1068">
        <v>0</v>
      </c>
      <c r="I1068">
        <v>0</v>
      </c>
      <c r="J1068">
        <v>0</v>
      </c>
      <c r="K1068">
        <v>0</v>
      </c>
      <c r="L1068">
        <v>0</v>
      </c>
      <c r="M1068">
        <v>0</v>
      </c>
      <c r="N1068">
        <v>0</v>
      </c>
      <c r="O1068">
        <v>0</v>
      </c>
      <c r="P1068" s="5">
        <f t="shared" si="178"/>
        <v>0</v>
      </c>
      <c r="Q1068">
        <f t="shared" si="179"/>
        <v>0</v>
      </c>
      <c r="R1068">
        <f t="shared" si="180"/>
        <v>0</v>
      </c>
      <c r="S1068">
        <f t="shared" si="181"/>
        <v>0</v>
      </c>
      <c r="T1068">
        <f t="shared" si="182"/>
        <v>0</v>
      </c>
      <c r="U1068">
        <f t="shared" si="183"/>
        <v>0</v>
      </c>
      <c r="V1068">
        <f t="shared" si="184"/>
        <v>0</v>
      </c>
      <c r="W1068">
        <f t="shared" si="185"/>
        <v>0</v>
      </c>
      <c r="X1068">
        <f t="shared" si="186"/>
        <v>0</v>
      </c>
      <c r="Y1068">
        <f t="shared" si="187"/>
        <v>0</v>
      </c>
      <c r="Z1068">
        <f t="shared" si="188"/>
        <v>0</v>
      </c>
      <c r="AA1068" t="str">
        <f>INDEX('Priority activities'!$D$5:$D$86,MATCH('Database for analysis'!C1068,'Priority activities'!$C$5:$C$86,0))</f>
        <v>n/a</v>
      </c>
    </row>
    <row r="1069" spans="2:27" ht="16.5" thickTop="1" thickBot="1" x14ac:dyDescent="0.3">
      <c r="B1069" t="s">
        <v>727</v>
      </c>
      <c r="C1069" s="22" t="str">
        <f>'Costing inputs'!$C$496</f>
        <v>FP division equipment - ongoing (SMC1.1)</v>
      </c>
      <c r="D1069" s="22" t="str">
        <f>'Costing inputs'!$U$496</f>
        <v>Central level</v>
      </c>
      <c r="E1069" s="22">
        <f>'Regional splits'!$M$14</f>
        <v>0</v>
      </c>
      <c r="F1069">
        <v>0</v>
      </c>
      <c r="G1069">
        <v>0</v>
      </c>
      <c r="H1069">
        <v>0</v>
      </c>
      <c r="I1069">
        <v>0</v>
      </c>
      <c r="J1069">
        <v>0</v>
      </c>
      <c r="K1069">
        <v>0</v>
      </c>
      <c r="L1069">
        <v>0</v>
      </c>
      <c r="M1069">
        <v>0</v>
      </c>
      <c r="N1069">
        <v>0</v>
      </c>
      <c r="O1069">
        <v>0</v>
      </c>
      <c r="P1069" s="5">
        <f t="shared" si="178"/>
        <v>0</v>
      </c>
      <c r="Q1069">
        <f t="shared" si="179"/>
        <v>0</v>
      </c>
      <c r="R1069">
        <f t="shared" si="180"/>
        <v>0</v>
      </c>
      <c r="S1069">
        <f t="shared" si="181"/>
        <v>0</v>
      </c>
      <c r="T1069">
        <f t="shared" si="182"/>
        <v>0</v>
      </c>
      <c r="U1069">
        <f t="shared" si="183"/>
        <v>0</v>
      </c>
      <c r="V1069">
        <f t="shared" si="184"/>
        <v>0</v>
      </c>
      <c r="W1069">
        <f t="shared" si="185"/>
        <v>0</v>
      </c>
      <c r="X1069">
        <f t="shared" si="186"/>
        <v>0</v>
      </c>
      <c r="Y1069">
        <f t="shared" si="187"/>
        <v>0</v>
      </c>
      <c r="Z1069">
        <f t="shared" si="188"/>
        <v>0</v>
      </c>
      <c r="AA1069" t="str">
        <f>INDEX('Priority activities'!$D$5:$D$86,MATCH('Database for analysis'!C1069,'Priority activities'!$C$5:$C$86,0))</f>
        <v>n/a</v>
      </c>
    </row>
    <row r="1070" spans="2:27" ht="16.5" thickTop="1" thickBot="1" x14ac:dyDescent="0.3">
      <c r="B1070" t="s">
        <v>727</v>
      </c>
      <c r="C1070" s="22" t="str">
        <f>'Costing inputs'!$C$496</f>
        <v>FP division equipment - ongoing (SMC1.1)</v>
      </c>
      <c r="D1070" s="22" t="str">
        <f>'Costing inputs'!$U$496</f>
        <v>Central level</v>
      </c>
      <c r="E1070" s="22">
        <f>'Regional splits'!$N$14</f>
        <v>0</v>
      </c>
      <c r="F1070">
        <v>0</v>
      </c>
      <c r="G1070">
        <v>0</v>
      </c>
      <c r="H1070">
        <v>0</v>
      </c>
      <c r="I1070">
        <v>0</v>
      </c>
      <c r="J1070">
        <v>0</v>
      </c>
      <c r="K1070">
        <v>0</v>
      </c>
      <c r="L1070">
        <v>0</v>
      </c>
      <c r="M1070">
        <v>0</v>
      </c>
      <c r="N1070">
        <v>0</v>
      </c>
      <c r="O1070">
        <v>0</v>
      </c>
      <c r="P1070" s="5">
        <f t="shared" si="178"/>
        <v>0</v>
      </c>
      <c r="Q1070">
        <f t="shared" si="179"/>
        <v>0</v>
      </c>
      <c r="R1070">
        <f t="shared" si="180"/>
        <v>0</v>
      </c>
      <c r="S1070">
        <f t="shared" si="181"/>
        <v>0</v>
      </c>
      <c r="T1070">
        <f t="shared" si="182"/>
        <v>0</v>
      </c>
      <c r="U1070">
        <f t="shared" si="183"/>
        <v>0</v>
      </c>
      <c r="V1070">
        <f t="shared" si="184"/>
        <v>0</v>
      </c>
      <c r="W1070">
        <f t="shared" si="185"/>
        <v>0</v>
      </c>
      <c r="X1070">
        <f t="shared" si="186"/>
        <v>0</v>
      </c>
      <c r="Y1070">
        <f t="shared" si="187"/>
        <v>0</v>
      </c>
      <c r="Z1070">
        <f t="shared" si="188"/>
        <v>0</v>
      </c>
      <c r="AA1070" t="str">
        <f>INDEX('Priority activities'!$D$5:$D$86,MATCH('Database for analysis'!C1070,'Priority activities'!$C$5:$C$86,0))</f>
        <v>n/a</v>
      </c>
    </row>
    <row r="1071" spans="2:27" ht="16.5" thickTop="1" thickBot="1" x14ac:dyDescent="0.3">
      <c r="B1071" t="s">
        <v>727</v>
      </c>
      <c r="C1071" s="22" t="str">
        <f>'Costing inputs'!$C$496</f>
        <v>FP division equipment - ongoing (SMC1.1)</v>
      </c>
      <c r="D1071" s="22" t="str">
        <f>'Costing inputs'!$U$496</f>
        <v>Central level</v>
      </c>
      <c r="E1071" s="22">
        <f>'Regional splits'!$O$14</f>
        <v>0</v>
      </c>
      <c r="F1071">
        <v>0</v>
      </c>
      <c r="G1071">
        <v>0</v>
      </c>
      <c r="H1071">
        <v>0</v>
      </c>
      <c r="I1071">
        <v>0</v>
      </c>
      <c r="J1071">
        <v>0</v>
      </c>
      <c r="K1071">
        <v>0</v>
      </c>
      <c r="L1071">
        <v>0</v>
      </c>
      <c r="M1071">
        <v>0</v>
      </c>
      <c r="N1071">
        <v>0</v>
      </c>
      <c r="O1071">
        <v>0</v>
      </c>
      <c r="P1071" s="5">
        <f t="shared" si="178"/>
        <v>0</v>
      </c>
      <c r="Q1071">
        <f t="shared" si="179"/>
        <v>0</v>
      </c>
      <c r="R1071">
        <f t="shared" si="180"/>
        <v>0</v>
      </c>
      <c r="S1071">
        <f t="shared" si="181"/>
        <v>0</v>
      </c>
      <c r="T1071">
        <f t="shared" si="182"/>
        <v>0</v>
      </c>
      <c r="U1071">
        <f t="shared" si="183"/>
        <v>0</v>
      </c>
      <c r="V1071">
        <f t="shared" si="184"/>
        <v>0</v>
      </c>
      <c r="W1071">
        <f t="shared" si="185"/>
        <v>0</v>
      </c>
      <c r="X1071">
        <f t="shared" si="186"/>
        <v>0</v>
      </c>
      <c r="Y1071">
        <f t="shared" si="187"/>
        <v>0</v>
      </c>
      <c r="Z1071">
        <f t="shared" si="188"/>
        <v>0</v>
      </c>
      <c r="AA1071" t="str">
        <f>INDEX('Priority activities'!$D$5:$D$86,MATCH('Database for analysis'!C1071,'Priority activities'!$C$5:$C$86,0))</f>
        <v>n/a</v>
      </c>
    </row>
    <row r="1072" spans="2:27" ht="16.5" thickTop="1" thickBot="1" x14ac:dyDescent="0.3">
      <c r="B1072" t="s">
        <v>727</v>
      </c>
      <c r="C1072" s="22" t="str">
        <f>'Costing inputs'!$C$496</f>
        <v>FP division equipment - ongoing (SMC1.1)</v>
      </c>
      <c r="D1072" s="22" t="str">
        <f>'Costing inputs'!$U$496</f>
        <v>Central level</v>
      </c>
      <c r="E1072" s="22">
        <f>'Regional splits'!$P$14</f>
        <v>0</v>
      </c>
      <c r="F1072">
        <v>0</v>
      </c>
      <c r="G1072">
        <v>0</v>
      </c>
      <c r="H1072">
        <v>0</v>
      </c>
      <c r="I1072">
        <v>0</v>
      </c>
      <c r="J1072">
        <v>0</v>
      </c>
      <c r="K1072">
        <v>0</v>
      </c>
      <c r="L1072">
        <v>0</v>
      </c>
      <c r="M1072">
        <v>0</v>
      </c>
      <c r="N1072">
        <v>0</v>
      </c>
      <c r="O1072">
        <v>0</v>
      </c>
      <c r="P1072" s="5">
        <f t="shared" si="178"/>
        <v>0</v>
      </c>
      <c r="Q1072">
        <f t="shared" si="179"/>
        <v>0</v>
      </c>
      <c r="R1072">
        <f t="shared" si="180"/>
        <v>0</v>
      </c>
      <c r="S1072">
        <f t="shared" si="181"/>
        <v>0</v>
      </c>
      <c r="T1072">
        <f t="shared" si="182"/>
        <v>0</v>
      </c>
      <c r="U1072">
        <f t="shared" si="183"/>
        <v>0</v>
      </c>
      <c r="V1072">
        <f t="shared" si="184"/>
        <v>0</v>
      </c>
      <c r="W1072">
        <f t="shared" si="185"/>
        <v>0</v>
      </c>
      <c r="X1072">
        <f t="shared" si="186"/>
        <v>0</v>
      </c>
      <c r="Y1072">
        <f t="shared" si="187"/>
        <v>0</v>
      </c>
      <c r="Z1072">
        <f t="shared" si="188"/>
        <v>0</v>
      </c>
      <c r="AA1072" t="str">
        <f>INDEX('Priority activities'!$D$5:$D$86,MATCH('Database for analysis'!C1072,'Priority activities'!$C$5:$C$86,0))</f>
        <v>n/a</v>
      </c>
    </row>
    <row r="1073" spans="2:27" ht="16.5" thickTop="1" thickBot="1" x14ac:dyDescent="0.3">
      <c r="B1073" t="s">
        <v>727</v>
      </c>
      <c r="C1073" s="22" t="str">
        <f>'Costing inputs'!$C$496</f>
        <v>FP division equipment - ongoing (SMC1.1)</v>
      </c>
      <c r="D1073" s="22" t="str">
        <f>'Costing inputs'!$U$496</f>
        <v>Central level</v>
      </c>
      <c r="E1073" s="22">
        <f>'Regional splits'!$Q$14</f>
        <v>0</v>
      </c>
      <c r="F1073">
        <v>0</v>
      </c>
      <c r="G1073">
        <v>0</v>
      </c>
      <c r="H1073">
        <v>0</v>
      </c>
      <c r="I1073">
        <v>0</v>
      </c>
      <c r="J1073">
        <v>0</v>
      </c>
      <c r="K1073">
        <v>0</v>
      </c>
      <c r="L1073">
        <v>0</v>
      </c>
      <c r="M1073">
        <v>0</v>
      </c>
      <c r="N1073">
        <v>0</v>
      </c>
      <c r="O1073">
        <v>0</v>
      </c>
      <c r="P1073" s="5">
        <f t="shared" si="178"/>
        <v>0</v>
      </c>
      <c r="Q1073">
        <f t="shared" si="179"/>
        <v>0</v>
      </c>
      <c r="R1073">
        <f t="shared" si="180"/>
        <v>0</v>
      </c>
      <c r="S1073">
        <f t="shared" si="181"/>
        <v>0</v>
      </c>
      <c r="T1073">
        <f t="shared" si="182"/>
        <v>0</v>
      </c>
      <c r="U1073">
        <f t="shared" si="183"/>
        <v>0</v>
      </c>
      <c r="V1073">
        <f t="shared" si="184"/>
        <v>0</v>
      </c>
      <c r="W1073">
        <f t="shared" si="185"/>
        <v>0</v>
      </c>
      <c r="X1073">
        <f t="shared" si="186"/>
        <v>0</v>
      </c>
      <c r="Y1073">
        <f t="shared" si="187"/>
        <v>0</v>
      </c>
      <c r="Z1073">
        <f t="shared" si="188"/>
        <v>0</v>
      </c>
      <c r="AA1073" t="str">
        <f>INDEX('Priority activities'!$D$5:$D$86,MATCH('Database for analysis'!C1073,'Priority activities'!$C$5:$C$86,0))</f>
        <v>n/a</v>
      </c>
    </row>
    <row r="1074" spans="2:27" ht="16.5" thickTop="1" thickBot="1" x14ac:dyDescent="0.3">
      <c r="B1074" t="s">
        <v>727</v>
      </c>
      <c r="C1074" s="22" t="str">
        <f>'Costing inputs'!$C$496</f>
        <v>FP division equipment - ongoing (SMC1.1)</v>
      </c>
      <c r="D1074" s="22" t="str">
        <f>'Costing inputs'!$U$496</f>
        <v>Central level</v>
      </c>
      <c r="E1074" s="22" t="str">
        <f>'Regional splits'!$R$14</f>
        <v>National-level</v>
      </c>
      <c r="F1074">
        <v>800</v>
      </c>
      <c r="G1074">
        <v>800</v>
      </c>
      <c r="H1074">
        <v>800</v>
      </c>
      <c r="I1074">
        <v>800</v>
      </c>
      <c r="J1074">
        <v>800</v>
      </c>
      <c r="K1074">
        <v>800</v>
      </c>
      <c r="L1074">
        <v>800</v>
      </c>
      <c r="M1074">
        <v>800</v>
      </c>
      <c r="N1074">
        <v>0</v>
      </c>
      <c r="O1074">
        <v>0</v>
      </c>
      <c r="P1074" s="5">
        <f t="shared" si="178"/>
        <v>6400</v>
      </c>
      <c r="Q1074">
        <f t="shared" si="179"/>
        <v>800</v>
      </c>
      <c r="R1074">
        <f t="shared" si="180"/>
        <v>800</v>
      </c>
      <c r="S1074">
        <f t="shared" si="181"/>
        <v>800</v>
      </c>
      <c r="T1074">
        <f t="shared" si="182"/>
        <v>800</v>
      </c>
      <c r="U1074">
        <f t="shared" si="183"/>
        <v>800</v>
      </c>
      <c r="V1074">
        <f t="shared" si="184"/>
        <v>800</v>
      </c>
      <c r="W1074">
        <f t="shared" si="185"/>
        <v>800</v>
      </c>
      <c r="X1074">
        <f t="shared" si="186"/>
        <v>800</v>
      </c>
      <c r="Y1074">
        <f t="shared" si="187"/>
        <v>0</v>
      </c>
      <c r="Z1074">
        <f t="shared" si="188"/>
        <v>0</v>
      </c>
      <c r="AA1074" t="str">
        <f>INDEX('Priority activities'!$D$5:$D$86,MATCH('Database for analysis'!C1074,'Priority activities'!$C$5:$C$86,0))</f>
        <v>n/a</v>
      </c>
    </row>
    <row r="1075" spans="2:27" ht="16.5" thickTop="1" thickBot="1" x14ac:dyDescent="0.3">
      <c r="B1075" t="s">
        <v>727</v>
      </c>
      <c r="C1075" s="22" t="str">
        <f>'Costing inputs'!$C$501</f>
        <v>Train provincial focal points (SMC1.3)</v>
      </c>
      <c r="D1075" s="22" t="str">
        <f>'Costing inputs'!$U$501</f>
        <v>Central level</v>
      </c>
      <c r="E1075" s="22" t="str">
        <f>'Regional splits'!$C$14</f>
        <v>Central</v>
      </c>
      <c r="F1075">
        <f t="array" ref="F1075:O1090">'Costing inputs'!S501*'Costing inputs'!AP501:AY501*TRANSPOSE('Costing inputs'!W501:AL501)</f>
        <v>0</v>
      </c>
      <c r="G1075">
        <v>0</v>
      </c>
      <c r="H1075">
        <v>0</v>
      </c>
      <c r="I1075">
        <v>0</v>
      </c>
      <c r="J1075">
        <v>0</v>
      </c>
      <c r="K1075">
        <v>0</v>
      </c>
      <c r="L1075">
        <v>0</v>
      </c>
      <c r="M1075">
        <v>0</v>
      </c>
      <c r="N1075">
        <v>0</v>
      </c>
      <c r="O1075">
        <v>0</v>
      </c>
      <c r="P1075" s="5">
        <f t="shared" si="178"/>
        <v>0</v>
      </c>
      <c r="Q1075">
        <f t="shared" si="179"/>
        <v>0</v>
      </c>
      <c r="R1075">
        <f t="shared" si="180"/>
        <v>0</v>
      </c>
      <c r="S1075">
        <f t="shared" si="181"/>
        <v>0</v>
      </c>
      <c r="T1075">
        <f t="shared" si="182"/>
        <v>0</v>
      </c>
      <c r="U1075">
        <f t="shared" si="183"/>
        <v>0</v>
      </c>
      <c r="V1075">
        <f t="shared" si="184"/>
        <v>0</v>
      </c>
      <c r="W1075">
        <f t="shared" si="185"/>
        <v>0</v>
      </c>
      <c r="X1075">
        <f t="shared" si="186"/>
        <v>0</v>
      </c>
      <c r="Y1075">
        <f t="shared" si="187"/>
        <v>0</v>
      </c>
      <c r="Z1075">
        <f t="shared" si="188"/>
        <v>0</v>
      </c>
      <c r="AA1075" t="str">
        <f>INDEX('Priority activities'!$D$5:$D$86,MATCH('Database for analysis'!C1075,'Priority activities'!$C$5:$C$86,0))</f>
        <v>FP governance structure and program coordination</v>
      </c>
    </row>
    <row r="1076" spans="2:27" ht="16.5" thickTop="1" thickBot="1" x14ac:dyDescent="0.3">
      <c r="B1076" t="s">
        <v>727</v>
      </c>
      <c r="C1076" s="22" t="str">
        <f>'Costing inputs'!$C$501</f>
        <v>Train provincial focal points (SMC1.3)</v>
      </c>
      <c r="D1076" s="22" t="str">
        <f>'Costing inputs'!$U$501</f>
        <v>Central level</v>
      </c>
      <c r="E1076" s="22" t="str">
        <f>'Regional splits'!$D$14</f>
        <v>Copperbelt</v>
      </c>
      <c r="F1076">
        <v>0</v>
      </c>
      <c r="G1076">
        <v>0</v>
      </c>
      <c r="H1076">
        <v>0</v>
      </c>
      <c r="I1076">
        <v>0</v>
      </c>
      <c r="J1076">
        <v>0</v>
      </c>
      <c r="K1076">
        <v>0</v>
      </c>
      <c r="L1076">
        <v>0</v>
      </c>
      <c r="M1076">
        <v>0</v>
      </c>
      <c r="N1076">
        <v>0</v>
      </c>
      <c r="O1076">
        <v>0</v>
      </c>
      <c r="P1076" s="5">
        <f t="shared" si="178"/>
        <v>0</v>
      </c>
      <c r="Q1076">
        <f t="shared" si="179"/>
        <v>0</v>
      </c>
      <c r="R1076">
        <f t="shared" si="180"/>
        <v>0</v>
      </c>
      <c r="S1076">
        <f t="shared" si="181"/>
        <v>0</v>
      </c>
      <c r="T1076">
        <f t="shared" si="182"/>
        <v>0</v>
      </c>
      <c r="U1076">
        <f t="shared" si="183"/>
        <v>0</v>
      </c>
      <c r="V1076">
        <f t="shared" si="184"/>
        <v>0</v>
      </c>
      <c r="W1076">
        <f t="shared" si="185"/>
        <v>0</v>
      </c>
      <c r="X1076">
        <f t="shared" si="186"/>
        <v>0</v>
      </c>
      <c r="Y1076">
        <f t="shared" si="187"/>
        <v>0</v>
      </c>
      <c r="Z1076">
        <f t="shared" si="188"/>
        <v>0</v>
      </c>
      <c r="AA1076" t="str">
        <f>INDEX('Priority activities'!$D$5:$D$86,MATCH('Database for analysis'!C1076,'Priority activities'!$C$5:$C$86,0))</f>
        <v>FP governance structure and program coordination</v>
      </c>
    </row>
    <row r="1077" spans="2:27" ht="16.5" thickTop="1" thickBot="1" x14ac:dyDescent="0.3">
      <c r="B1077" t="s">
        <v>727</v>
      </c>
      <c r="C1077" s="22" t="str">
        <f>'Costing inputs'!$C$501</f>
        <v>Train provincial focal points (SMC1.3)</v>
      </c>
      <c r="D1077" s="22" t="str">
        <f>'Costing inputs'!$U$501</f>
        <v>Central level</v>
      </c>
      <c r="E1077" s="22" t="str">
        <f>'Regional splits'!$E$14</f>
        <v>Eastern</v>
      </c>
      <c r="F1077">
        <v>0</v>
      </c>
      <c r="G1077">
        <v>0</v>
      </c>
      <c r="H1077">
        <v>0</v>
      </c>
      <c r="I1077">
        <v>0</v>
      </c>
      <c r="J1077">
        <v>0</v>
      </c>
      <c r="K1077">
        <v>0</v>
      </c>
      <c r="L1077">
        <v>0</v>
      </c>
      <c r="M1077">
        <v>0</v>
      </c>
      <c r="N1077">
        <v>0</v>
      </c>
      <c r="O1077">
        <v>0</v>
      </c>
      <c r="P1077" s="5">
        <f t="shared" si="178"/>
        <v>0</v>
      </c>
      <c r="Q1077">
        <f t="shared" si="179"/>
        <v>0</v>
      </c>
      <c r="R1077">
        <f t="shared" si="180"/>
        <v>0</v>
      </c>
      <c r="S1077">
        <f t="shared" si="181"/>
        <v>0</v>
      </c>
      <c r="T1077">
        <f t="shared" si="182"/>
        <v>0</v>
      </c>
      <c r="U1077">
        <f t="shared" si="183"/>
        <v>0</v>
      </c>
      <c r="V1077">
        <f t="shared" si="184"/>
        <v>0</v>
      </c>
      <c r="W1077">
        <f t="shared" si="185"/>
        <v>0</v>
      </c>
      <c r="X1077">
        <f t="shared" si="186"/>
        <v>0</v>
      </c>
      <c r="Y1077">
        <f t="shared" si="187"/>
        <v>0</v>
      </c>
      <c r="Z1077">
        <f t="shared" si="188"/>
        <v>0</v>
      </c>
      <c r="AA1077" t="str">
        <f>INDEX('Priority activities'!$D$5:$D$86,MATCH('Database for analysis'!C1077,'Priority activities'!$C$5:$C$86,0))</f>
        <v>FP governance structure and program coordination</v>
      </c>
    </row>
    <row r="1078" spans="2:27" ht="16.5" thickTop="1" thickBot="1" x14ac:dyDescent="0.3">
      <c r="B1078" t="s">
        <v>727</v>
      </c>
      <c r="C1078" s="22" t="str">
        <f>'Costing inputs'!$C$501</f>
        <v>Train provincial focal points (SMC1.3)</v>
      </c>
      <c r="D1078" s="22" t="str">
        <f>'Costing inputs'!$U$501</f>
        <v>Central level</v>
      </c>
      <c r="E1078" s="22" t="str">
        <f>'Regional splits'!$F$14</f>
        <v>Luapula</v>
      </c>
      <c r="F1078">
        <v>0</v>
      </c>
      <c r="G1078">
        <v>0</v>
      </c>
      <c r="H1078">
        <v>0</v>
      </c>
      <c r="I1078">
        <v>0</v>
      </c>
      <c r="J1078">
        <v>0</v>
      </c>
      <c r="K1078">
        <v>0</v>
      </c>
      <c r="L1078">
        <v>0</v>
      </c>
      <c r="M1078">
        <v>0</v>
      </c>
      <c r="N1078">
        <v>0</v>
      </c>
      <c r="O1078">
        <v>0</v>
      </c>
      <c r="P1078" s="5">
        <f t="shared" si="178"/>
        <v>0</v>
      </c>
      <c r="Q1078">
        <f t="shared" si="179"/>
        <v>0</v>
      </c>
      <c r="R1078">
        <f t="shared" si="180"/>
        <v>0</v>
      </c>
      <c r="S1078">
        <f t="shared" si="181"/>
        <v>0</v>
      </c>
      <c r="T1078">
        <f t="shared" si="182"/>
        <v>0</v>
      </c>
      <c r="U1078">
        <f t="shared" si="183"/>
        <v>0</v>
      </c>
      <c r="V1078">
        <f t="shared" si="184"/>
        <v>0</v>
      </c>
      <c r="W1078">
        <f t="shared" si="185"/>
        <v>0</v>
      </c>
      <c r="X1078">
        <f t="shared" si="186"/>
        <v>0</v>
      </c>
      <c r="Y1078">
        <f t="shared" si="187"/>
        <v>0</v>
      </c>
      <c r="Z1078">
        <f t="shared" si="188"/>
        <v>0</v>
      </c>
      <c r="AA1078" t="str">
        <f>INDEX('Priority activities'!$D$5:$D$86,MATCH('Database for analysis'!C1078,'Priority activities'!$C$5:$C$86,0))</f>
        <v>FP governance structure and program coordination</v>
      </c>
    </row>
    <row r="1079" spans="2:27" ht="16.5" thickTop="1" thickBot="1" x14ac:dyDescent="0.3">
      <c r="B1079" t="s">
        <v>727</v>
      </c>
      <c r="C1079" s="22" t="str">
        <f>'Costing inputs'!$C$501</f>
        <v>Train provincial focal points (SMC1.3)</v>
      </c>
      <c r="D1079" s="22" t="str">
        <f>'Costing inputs'!$U$501</f>
        <v>Central level</v>
      </c>
      <c r="E1079" s="22" t="str">
        <f>'Regional splits'!$G$14</f>
        <v>Lusaka</v>
      </c>
      <c r="F1079">
        <v>0</v>
      </c>
      <c r="G1079">
        <v>0</v>
      </c>
      <c r="H1079">
        <v>0</v>
      </c>
      <c r="I1079">
        <v>0</v>
      </c>
      <c r="J1079">
        <v>0</v>
      </c>
      <c r="K1079">
        <v>0</v>
      </c>
      <c r="L1079">
        <v>0</v>
      </c>
      <c r="M1079">
        <v>0</v>
      </c>
      <c r="N1079">
        <v>0</v>
      </c>
      <c r="O1079">
        <v>0</v>
      </c>
      <c r="P1079" s="5">
        <f t="shared" si="178"/>
        <v>0</v>
      </c>
      <c r="Q1079">
        <f t="shared" si="179"/>
        <v>0</v>
      </c>
      <c r="R1079">
        <f t="shared" si="180"/>
        <v>0</v>
      </c>
      <c r="S1079">
        <f t="shared" si="181"/>
        <v>0</v>
      </c>
      <c r="T1079">
        <f t="shared" si="182"/>
        <v>0</v>
      </c>
      <c r="U1079">
        <f t="shared" si="183"/>
        <v>0</v>
      </c>
      <c r="V1079">
        <f t="shared" si="184"/>
        <v>0</v>
      </c>
      <c r="W1079">
        <f t="shared" si="185"/>
        <v>0</v>
      </c>
      <c r="X1079">
        <f t="shared" si="186"/>
        <v>0</v>
      </c>
      <c r="Y1079">
        <f t="shared" si="187"/>
        <v>0</v>
      </c>
      <c r="Z1079">
        <f t="shared" si="188"/>
        <v>0</v>
      </c>
      <c r="AA1079" t="str">
        <f>INDEX('Priority activities'!$D$5:$D$86,MATCH('Database for analysis'!C1079,'Priority activities'!$C$5:$C$86,0))</f>
        <v>FP governance structure and program coordination</v>
      </c>
    </row>
    <row r="1080" spans="2:27" ht="16.5" thickTop="1" thickBot="1" x14ac:dyDescent="0.3">
      <c r="B1080" t="s">
        <v>727</v>
      </c>
      <c r="C1080" s="22" t="str">
        <f>'Costing inputs'!$C$501</f>
        <v>Train provincial focal points (SMC1.3)</v>
      </c>
      <c r="D1080" s="22" t="str">
        <f>'Costing inputs'!$U$501</f>
        <v>Central level</v>
      </c>
      <c r="E1080" s="22" t="str">
        <f>'Regional splits'!$H$14</f>
        <v>Muchinga</v>
      </c>
      <c r="F1080">
        <v>0</v>
      </c>
      <c r="G1080">
        <v>0</v>
      </c>
      <c r="H1080">
        <v>0</v>
      </c>
      <c r="I1080">
        <v>0</v>
      </c>
      <c r="J1080">
        <v>0</v>
      </c>
      <c r="K1080">
        <v>0</v>
      </c>
      <c r="L1080">
        <v>0</v>
      </c>
      <c r="M1080">
        <v>0</v>
      </c>
      <c r="N1080">
        <v>0</v>
      </c>
      <c r="O1080">
        <v>0</v>
      </c>
      <c r="P1080" s="5">
        <f t="shared" si="178"/>
        <v>0</v>
      </c>
      <c r="Q1080">
        <f t="shared" si="179"/>
        <v>0</v>
      </c>
      <c r="R1080">
        <f t="shared" si="180"/>
        <v>0</v>
      </c>
      <c r="S1080">
        <f t="shared" si="181"/>
        <v>0</v>
      </c>
      <c r="T1080">
        <f t="shared" si="182"/>
        <v>0</v>
      </c>
      <c r="U1080">
        <f t="shared" si="183"/>
        <v>0</v>
      </c>
      <c r="V1080">
        <f t="shared" si="184"/>
        <v>0</v>
      </c>
      <c r="W1080">
        <f t="shared" si="185"/>
        <v>0</v>
      </c>
      <c r="X1080">
        <f t="shared" si="186"/>
        <v>0</v>
      </c>
      <c r="Y1080">
        <f t="shared" si="187"/>
        <v>0</v>
      </c>
      <c r="Z1080">
        <f t="shared" si="188"/>
        <v>0</v>
      </c>
      <c r="AA1080" t="str">
        <f>INDEX('Priority activities'!$D$5:$D$86,MATCH('Database for analysis'!C1080,'Priority activities'!$C$5:$C$86,0))</f>
        <v>FP governance structure and program coordination</v>
      </c>
    </row>
    <row r="1081" spans="2:27" ht="16.5" thickTop="1" thickBot="1" x14ac:dyDescent="0.3">
      <c r="B1081" t="s">
        <v>727</v>
      </c>
      <c r="C1081" s="22" t="str">
        <f>'Costing inputs'!$C$501</f>
        <v>Train provincial focal points (SMC1.3)</v>
      </c>
      <c r="D1081" s="22" t="str">
        <f>'Costing inputs'!$U$501</f>
        <v>Central level</v>
      </c>
      <c r="E1081" s="22" t="str">
        <f>'Regional splits'!$I$14</f>
        <v>Northern</v>
      </c>
      <c r="F1081">
        <v>0</v>
      </c>
      <c r="G1081">
        <v>0</v>
      </c>
      <c r="H1081">
        <v>0</v>
      </c>
      <c r="I1081">
        <v>0</v>
      </c>
      <c r="J1081">
        <v>0</v>
      </c>
      <c r="K1081">
        <v>0</v>
      </c>
      <c r="L1081">
        <v>0</v>
      </c>
      <c r="M1081">
        <v>0</v>
      </c>
      <c r="N1081">
        <v>0</v>
      </c>
      <c r="O1081">
        <v>0</v>
      </c>
      <c r="P1081" s="5">
        <f t="shared" si="178"/>
        <v>0</v>
      </c>
      <c r="Q1081">
        <f t="shared" si="179"/>
        <v>0</v>
      </c>
      <c r="R1081">
        <f t="shared" si="180"/>
        <v>0</v>
      </c>
      <c r="S1081">
        <f t="shared" si="181"/>
        <v>0</v>
      </c>
      <c r="T1081">
        <f t="shared" si="182"/>
        <v>0</v>
      </c>
      <c r="U1081">
        <f t="shared" si="183"/>
        <v>0</v>
      </c>
      <c r="V1081">
        <f t="shared" si="184"/>
        <v>0</v>
      </c>
      <c r="W1081">
        <f t="shared" si="185"/>
        <v>0</v>
      </c>
      <c r="X1081">
        <f t="shared" si="186"/>
        <v>0</v>
      </c>
      <c r="Y1081">
        <f t="shared" si="187"/>
        <v>0</v>
      </c>
      <c r="Z1081">
        <f t="shared" si="188"/>
        <v>0</v>
      </c>
      <c r="AA1081" t="str">
        <f>INDEX('Priority activities'!$D$5:$D$86,MATCH('Database for analysis'!C1081,'Priority activities'!$C$5:$C$86,0))</f>
        <v>FP governance structure and program coordination</v>
      </c>
    </row>
    <row r="1082" spans="2:27" ht="16.5" thickTop="1" thickBot="1" x14ac:dyDescent="0.3">
      <c r="B1082" t="s">
        <v>727</v>
      </c>
      <c r="C1082" s="22" t="str">
        <f>'Costing inputs'!$C$501</f>
        <v>Train provincial focal points (SMC1.3)</v>
      </c>
      <c r="D1082" s="22" t="str">
        <f>'Costing inputs'!$U$501</f>
        <v>Central level</v>
      </c>
      <c r="E1082" s="22" t="str">
        <f>'Regional splits'!$J$14</f>
        <v>North Western</v>
      </c>
      <c r="F1082">
        <v>0</v>
      </c>
      <c r="G1082">
        <v>0</v>
      </c>
      <c r="H1082">
        <v>0</v>
      </c>
      <c r="I1082">
        <v>0</v>
      </c>
      <c r="J1082">
        <v>0</v>
      </c>
      <c r="K1082">
        <v>0</v>
      </c>
      <c r="L1082">
        <v>0</v>
      </c>
      <c r="M1082">
        <v>0</v>
      </c>
      <c r="N1082">
        <v>0</v>
      </c>
      <c r="O1082">
        <v>0</v>
      </c>
      <c r="P1082" s="5">
        <f t="shared" si="178"/>
        <v>0</v>
      </c>
      <c r="Q1082">
        <f t="shared" si="179"/>
        <v>0</v>
      </c>
      <c r="R1082">
        <f t="shared" si="180"/>
        <v>0</v>
      </c>
      <c r="S1082">
        <f t="shared" si="181"/>
        <v>0</v>
      </c>
      <c r="T1082">
        <f t="shared" si="182"/>
        <v>0</v>
      </c>
      <c r="U1082">
        <f t="shared" si="183"/>
        <v>0</v>
      </c>
      <c r="V1082">
        <f t="shared" si="184"/>
        <v>0</v>
      </c>
      <c r="W1082">
        <f t="shared" si="185"/>
        <v>0</v>
      </c>
      <c r="X1082">
        <f t="shared" si="186"/>
        <v>0</v>
      </c>
      <c r="Y1082">
        <f t="shared" si="187"/>
        <v>0</v>
      </c>
      <c r="Z1082">
        <f t="shared" si="188"/>
        <v>0</v>
      </c>
      <c r="AA1082" t="str">
        <f>INDEX('Priority activities'!$D$5:$D$86,MATCH('Database for analysis'!C1082,'Priority activities'!$C$5:$C$86,0))</f>
        <v>FP governance structure and program coordination</v>
      </c>
    </row>
    <row r="1083" spans="2:27" ht="16.5" thickTop="1" thickBot="1" x14ac:dyDescent="0.3">
      <c r="B1083" t="s">
        <v>727</v>
      </c>
      <c r="C1083" s="22" t="str">
        <f>'Costing inputs'!$C$501</f>
        <v>Train provincial focal points (SMC1.3)</v>
      </c>
      <c r="D1083" s="22" t="str">
        <f>'Costing inputs'!$U$501</f>
        <v>Central level</v>
      </c>
      <c r="E1083" s="22" t="str">
        <f>'Regional splits'!$K$14</f>
        <v>Southern</v>
      </c>
      <c r="F1083">
        <v>0</v>
      </c>
      <c r="G1083">
        <v>0</v>
      </c>
      <c r="H1083">
        <v>0</v>
      </c>
      <c r="I1083">
        <v>0</v>
      </c>
      <c r="J1083">
        <v>0</v>
      </c>
      <c r="K1083">
        <v>0</v>
      </c>
      <c r="L1083">
        <v>0</v>
      </c>
      <c r="M1083">
        <v>0</v>
      </c>
      <c r="N1083">
        <v>0</v>
      </c>
      <c r="O1083">
        <v>0</v>
      </c>
      <c r="P1083" s="5">
        <f t="shared" si="178"/>
        <v>0</v>
      </c>
      <c r="Q1083">
        <f t="shared" si="179"/>
        <v>0</v>
      </c>
      <c r="R1083">
        <f t="shared" si="180"/>
        <v>0</v>
      </c>
      <c r="S1083">
        <f t="shared" si="181"/>
        <v>0</v>
      </c>
      <c r="T1083">
        <f t="shared" si="182"/>
        <v>0</v>
      </c>
      <c r="U1083">
        <f t="shared" si="183"/>
        <v>0</v>
      </c>
      <c r="V1083">
        <f t="shared" si="184"/>
        <v>0</v>
      </c>
      <c r="W1083">
        <f t="shared" si="185"/>
        <v>0</v>
      </c>
      <c r="X1083">
        <f t="shared" si="186"/>
        <v>0</v>
      </c>
      <c r="Y1083">
        <f t="shared" si="187"/>
        <v>0</v>
      </c>
      <c r="Z1083">
        <f t="shared" si="188"/>
        <v>0</v>
      </c>
      <c r="AA1083" t="str">
        <f>INDEX('Priority activities'!$D$5:$D$86,MATCH('Database for analysis'!C1083,'Priority activities'!$C$5:$C$86,0))</f>
        <v>FP governance structure and program coordination</v>
      </c>
    </row>
    <row r="1084" spans="2:27" ht="16.5" thickTop="1" thickBot="1" x14ac:dyDescent="0.3">
      <c r="B1084" t="s">
        <v>727</v>
      </c>
      <c r="C1084" s="22" t="str">
        <f>'Costing inputs'!$C$501</f>
        <v>Train provincial focal points (SMC1.3)</v>
      </c>
      <c r="D1084" s="22" t="str">
        <f>'Costing inputs'!$U$501</f>
        <v>Central level</v>
      </c>
      <c r="E1084" s="22" t="str">
        <f>'Regional splits'!$L$14</f>
        <v>Western</v>
      </c>
      <c r="F1084">
        <v>0</v>
      </c>
      <c r="G1084">
        <v>0</v>
      </c>
      <c r="H1084">
        <v>0</v>
      </c>
      <c r="I1084">
        <v>0</v>
      </c>
      <c r="J1084">
        <v>0</v>
      </c>
      <c r="K1084">
        <v>0</v>
      </c>
      <c r="L1084">
        <v>0</v>
      </c>
      <c r="M1084">
        <v>0</v>
      </c>
      <c r="N1084">
        <v>0</v>
      </c>
      <c r="O1084">
        <v>0</v>
      </c>
      <c r="P1084" s="5">
        <f t="shared" si="178"/>
        <v>0</v>
      </c>
      <c r="Q1084">
        <f t="shared" si="179"/>
        <v>0</v>
      </c>
      <c r="R1084">
        <f t="shared" si="180"/>
        <v>0</v>
      </c>
      <c r="S1084">
        <f t="shared" si="181"/>
        <v>0</v>
      </c>
      <c r="T1084">
        <f t="shared" si="182"/>
        <v>0</v>
      </c>
      <c r="U1084">
        <f t="shared" si="183"/>
        <v>0</v>
      </c>
      <c r="V1084">
        <f t="shared" si="184"/>
        <v>0</v>
      </c>
      <c r="W1084">
        <f t="shared" si="185"/>
        <v>0</v>
      </c>
      <c r="X1084">
        <f t="shared" si="186"/>
        <v>0</v>
      </c>
      <c r="Y1084">
        <f t="shared" si="187"/>
        <v>0</v>
      </c>
      <c r="Z1084">
        <f t="shared" si="188"/>
        <v>0</v>
      </c>
      <c r="AA1084" t="str">
        <f>INDEX('Priority activities'!$D$5:$D$86,MATCH('Database for analysis'!C1084,'Priority activities'!$C$5:$C$86,0))</f>
        <v>FP governance structure and program coordination</v>
      </c>
    </row>
    <row r="1085" spans="2:27" ht="16.5" thickTop="1" thickBot="1" x14ac:dyDescent="0.3">
      <c r="B1085" t="s">
        <v>727</v>
      </c>
      <c r="C1085" s="22" t="str">
        <f>'Costing inputs'!$C$501</f>
        <v>Train provincial focal points (SMC1.3)</v>
      </c>
      <c r="D1085" s="22" t="str">
        <f>'Costing inputs'!$U$501</f>
        <v>Central level</v>
      </c>
      <c r="E1085" s="22">
        <f>'Regional splits'!$M$14</f>
        <v>0</v>
      </c>
      <c r="F1085">
        <v>0</v>
      </c>
      <c r="G1085">
        <v>0</v>
      </c>
      <c r="H1085">
        <v>0</v>
      </c>
      <c r="I1085">
        <v>0</v>
      </c>
      <c r="J1085">
        <v>0</v>
      </c>
      <c r="K1085">
        <v>0</v>
      </c>
      <c r="L1085">
        <v>0</v>
      </c>
      <c r="M1085">
        <v>0</v>
      </c>
      <c r="N1085">
        <v>0</v>
      </c>
      <c r="O1085">
        <v>0</v>
      </c>
      <c r="P1085" s="5">
        <f t="shared" si="178"/>
        <v>0</v>
      </c>
      <c r="Q1085">
        <f t="shared" si="179"/>
        <v>0</v>
      </c>
      <c r="R1085">
        <f t="shared" si="180"/>
        <v>0</v>
      </c>
      <c r="S1085">
        <f t="shared" si="181"/>
        <v>0</v>
      </c>
      <c r="T1085">
        <f t="shared" si="182"/>
        <v>0</v>
      </c>
      <c r="U1085">
        <f t="shared" si="183"/>
        <v>0</v>
      </c>
      <c r="V1085">
        <f t="shared" si="184"/>
        <v>0</v>
      </c>
      <c r="W1085">
        <f t="shared" si="185"/>
        <v>0</v>
      </c>
      <c r="X1085">
        <f t="shared" si="186"/>
        <v>0</v>
      </c>
      <c r="Y1085">
        <f t="shared" si="187"/>
        <v>0</v>
      </c>
      <c r="Z1085">
        <f t="shared" si="188"/>
        <v>0</v>
      </c>
      <c r="AA1085" t="str">
        <f>INDEX('Priority activities'!$D$5:$D$86,MATCH('Database for analysis'!C1085,'Priority activities'!$C$5:$C$86,0))</f>
        <v>FP governance structure and program coordination</v>
      </c>
    </row>
    <row r="1086" spans="2:27" ht="16.5" thickTop="1" thickBot="1" x14ac:dyDescent="0.3">
      <c r="B1086" t="s">
        <v>727</v>
      </c>
      <c r="C1086" s="22" t="str">
        <f>'Costing inputs'!$C$501</f>
        <v>Train provincial focal points (SMC1.3)</v>
      </c>
      <c r="D1086" s="22" t="str">
        <f>'Costing inputs'!$U$501</f>
        <v>Central level</v>
      </c>
      <c r="E1086" s="22">
        <f>'Regional splits'!$N$14</f>
        <v>0</v>
      </c>
      <c r="F1086">
        <v>0</v>
      </c>
      <c r="G1086">
        <v>0</v>
      </c>
      <c r="H1086">
        <v>0</v>
      </c>
      <c r="I1086">
        <v>0</v>
      </c>
      <c r="J1086">
        <v>0</v>
      </c>
      <c r="K1086">
        <v>0</v>
      </c>
      <c r="L1086">
        <v>0</v>
      </c>
      <c r="M1086">
        <v>0</v>
      </c>
      <c r="N1086">
        <v>0</v>
      </c>
      <c r="O1086">
        <v>0</v>
      </c>
      <c r="P1086" s="5">
        <f t="shared" si="178"/>
        <v>0</v>
      </c>
      <c r="Q1086">
        <f t="shared" si="179"/>
        <v>0</v>
      </c>
      <c r="R1086">
        <f t="shared" si="180"/>
        <v>0</v>
      </c>
      <c r="S1086">
        <f t="shared" si="181"/>
        <v>0</v>
      </c>
      <c r="T1086">
        <f t="shared" si="182"/>
        <v>0</v>
      </c>
      <c r="U1086">
        <f t="shared" si="183"/>
        <v>0</v>
      </c>
      <c r="V1086">
        <f t="shared" si="184"/>
        <v>0</v>
      </c>
      <c r="W1086">
        <f t="shared" si="185"/>
        <v>0</v>
      </c>
      <c r="X1086">
        <f t="shared" si="186"/>
        <v>0</v>
      </c>
      <c r="Y1086">
        <f t="shared" si="187"/>
        <v>0</v>
      </c>
      <c r="Z1086">
        <f t="shared" si="188"/>
        <v>0</v>
      </c>
      <c r="AA1086" t="str">
        <f>INDEX('Priority activities'!$D$5:$D$86,MATCH('Database for analysis'!C1086,'Priority activities'!$C$5:$C$86,0))</f>
        <v>FP governance structure and program coordination</v>
      </c>
    </row>
    <row r="1087" spans="2:27" ht="16.5" thickTop="1" thickBot="1" x14ac:dyDescent="0.3">
      <c r="B1087" t="s">
        <v>727</v>
      </c>
      <c r="C1087" s="22" t="str">
        <f>'Costing inputs'!$C$501</f>
        <v>Train provincial focal points (SMC1.3)</v>
      </c>
      <c r="D1087" s="22" t="str">
        <f>'Costing inputs'!$U$501</f>
        <v>Central level</v>
      </c>
      <c r="E1087" s="22">
        <f>'Regional splits'!$O$14</f>
        <v>0</v>
      </c>
      <c r="F1087">
        <v>0</v>
      </c>
      <c r="G1087">
        <v>0</v>
      </c>
      <c r="H1087">
        <v>0</v>
      </c>
      <c r="I1087">
        <v>0</v>
      </c>
      <c r="J1087">
        <v>0</v>
      </c>
      <c r="K1087">
        <v>0</v>
      </c>
      <c r="L1087">
        <v>0</v>
      </c>
      <c r="M1087">
        <v>0</v>
      </c>
      <c r="N1087">
        <v>0</v>
      </c>
      <c r="O1087">
        <v>0</v>
      </c>
      <c r="P1087" s="5">
        <f t="shared" si="178"/>
        <v>0</v>
      </c>
      <c r="Q1087">
        <f t="shared" si="179"/>
        <v>0</v>
      </c>
      <c r="R1087">
        <f t="shared" si="180"/>
        <v>0</v>
      </c>
      <c r="S1087">
        <f t="shared" si="181"/>
        <v>0</v>
      </c>
      <c r="T1087">
        <f t="shared" si="182"/>
        <v>0</v>
      </c>
      <c r="U1087">
        <f t="shared" si="183"/>
        <v>0</v>
      </c>
      <c r="V1087">
        <f t="shared" si="184"/>
        <v>0</v>
      </c>
      <c r="W1087">
        <f t="shared" si="185"/>
        <v>0</v>
      </c>
      <c r="X1087">
        <f t="shared" si="186"/>
        <v>0</v>
      </c>
      <c r="Y1087">
        <f t="shared" si="187"/>
        <v>0</v>
      </c>
      <c r="Z1087">
        <f t="shared" si="188"/>
        <v>0</v>
      </c>
      <c r="AA1087" t="str">
        <f>INDEX('Priority activities'!$D$5:$D$86,MATCH('Database for analysis'!C1087,'Priority activities'!$C$5:$C$86,0))</f>
        <v>FP governance structure and program coordination</v>
      </c>
    </row>
    <row r="1088" spans="2:27" ht="16.5" thickTop="1" thickBot="1" x14ac:dyDescent="0.3">
      <c r="B1088" t="s">
        <v>727</v>
      </c>
      <c r="C1088" s="22" t="str">
        <f>'Costing inputs'!$C$501</f>
        <v>Train provincial focal points (SMC1.3)</v>
      </c>
      <c r="D1088" s="22" t="str">
        <f>'Costing inputs'!$U$501</f>
        <v>Central level</v>
      </c>
      <c r="E1088" s="22">
        <f>'Regional splits'!$P$14</f>
        <v>0</v>
      </c>
      <c r="F1088">
        <v>0</v>
      </c>
      <c r="G1088">
        <v>0</v>
      </c>
      <c r="H1088">
        <v>0</v>
      </c>
      <c r="I1088">
        <v>0</v>
      </c>
      <c r="J1088">
        <v>0</v>
      </c>
      <c r="K1088">
        <v>0</v>
      </c>
      <c r="L1088">
        <v>0</v>
      </c>
      <c r="M1088">
        <v>0</v>
      </c>
      <c r="N1088">
        <v>0</v>
      </c>
      <c r="O1088">
        <v>0</v>
      </c>
      <c r="P1088" s="5">
        <f t="shared" si="178"/>
        <v>0</v>
      </c>
      <c r="Q1088">
        <f t="shared" si="179"/>
        <v>0</v>
      </c>
      <c r="R1088">
        <f t="shared" si="180"/>
        <v>0</v>
      </c>
      <c r="S1088">
        <f t="shared" si="181"/>
        <v>0</v>
      </c>
      <c r="T1088">
        <f t="shared" si="182"/>
        <v>0</v>
      </c>
      <c r="U1088">
        <f t="shared" si="183"/>
        <v>0</v>
      </c>
      <c r="V1088">
        <f t="shared" si="184"/>
        <v>0</v>
      </c>
      <c r="W1088">
        <f t="shared" si="185"/>
        <v>0</v>
      </c>
      <c r="X1088">
        <f t="shared" si="186"/>
        <v>0</v>
      </c>
      <c r="Y1088">
        <f t="shared" si="187"/>
        <v>0</v>
      </c>
      <c r="Z1088">
        <f t="shared" si="188"/>
        <v>0</v>
      </c>
      <c r="AA1088" t="str">
        <f>INDEX('Priority activities'!$D$5:$D$86,MATCH('Database for analysis'!C1088,'Priority activities'!$C$5:$C$86,0))</f>
        <v>FP governance structure and program coordination</v>
      </c>
    </row>
    <row r="1089" spans="2:27" ht="16.5" thickTop="1" thickBot="1" x14ac:dyDescent="0.3">
      <c r="B1089" t="s">
        <v>727</v>
      </c>
      <c r="C1089" s="22" t="str">
        <f>'Costing inputs'!$C$501</f>
        <v>Train provincial focal points (SMC1.3)</v>
      </c>
      <c r="D1089" s="22" t="str">
        <f>'Costing inputs'!$U$501</f>
        <v>Central level</v>
      </c>
      <c r="E1089" s="22">
        <f>'Regional splits'!$Q$14</f>
        <v>0</v>
      </c>
      <c r="F1089">
        <v>0</v>
      </c>
      <c r="G1089">
        <v>0</v>
      </c>
      <c r="H1089">
        <v>0</v>
      </c>
      <c r="I1089">
        <v>0</v>
      </c>
      <c r="J1089">
        <v>0</v>
      </c>
      <c r="K1089">
        <v>0</v>
      </c>
      <c r="L1089">
        <v>0</v>
      </c>
      <c r="M1089">
        <v>0</v>
      </c>
      <c r="N1089">
        <v>0</v>
      </c>
      <c r="O1089">
        <v>0</v>
      </c>
      <c r="P1089" s="5">
        <f t="shared" si="178"/>
        <v>0</v>
      </c>
      <c r="Q1089">
        <f t="shared" si="179"/>
        <v>0</v>
      </c>
      <c r="R1089">
        <f t="shared" si="180"/>
        <v>0</v>
      </c>
      <c r="S1089">
        <f t="shared" si="181"/>
        <v>0</v>
      </c>
      <c r="T1089">
        <f t="shared" si="182"/>
        <v>0</v>
      </c>
      <c r="U1089">
        <f t="shared" si="183"/>
        <v>0</v>
      </c>
      <c r="V1089">
        <f t="shared" si="184"/>
        <v>0</v>
      </c>
      <c r="W1089">
        <f t="shared" si="185"/>
        <v>0</v>
      </c>
      <c r="X1089">
        <f t="shared" si="186"/>
        <v>0</v>
      </c>
      <c r="Y1089">
        <f t="shared" si="187"/>
        <v>0</v>
      </c>
      <c r="Z1089">
        <f t="shared" si="188"/>
        <v>0</v>
      </c>
      <c r="AA1089" t="str">
        <f>INDEX('Priority activities'!$D$5:$D$86,MATCH('Database for analysis'!C1089,'Priority activities'!$C$5:$C$86,0))</f>
        <v>FP governance structure and program coordination</v>
      </c>
    </row>
    <row r="1090" spans="2:27" ht="16.5" thickTop="1" thickBot="1" x14ac:dyDescent="0.3">
      <c r="B1090" t="s">
        <v>727</v>
      </c>
      <c r="C1090" s="22" t="str">
        <f>'Costing inputs'!$C$501</f>
        <v>Train provincial focal points (SMC1.3)</v>
      </c>
      <c r="D1090" s="22" t="str">
        <f>'Costing inputs'!$U$501</f>
        <v>Central level</v>
      </c>
      <c r="E1090" s="22" t="str">
        <f>'Regional splits'!$R$14</f>
        <v>National-level</v>
      </c>
      <c r="F1090">
        <v>51916.896000000001</v>
      </c>
      <c r="G1090">
        <v>0</v>
      </c>
      <c r="H1090">
        <v>0</v>
      </c>
      <c r="I1090">
        <v>0</v>
      </c>
      <c r="J1090">
        <v>0</v>
      </c>
      <c r="K1090">
        <v>0</v>
      </c>
      <c r="L1090">
        <v>0</v>
      </c>
      <c r="M1090">
        <v>0</v>
      </c>
      <c r="N1090">
        <v>0</v>
      </c>
      <c r="O1090">
        <v>0</v>
      </c>
      <c r="P1090" s="5">
        <f t="shared" si="178"/>
        <v>51916.896000000001</v>
      </c>
      <c r="Q1090">
        <f t="shared" si="179"/>
        <v>51916.896000000001</v>
      </c>
      <c r="R1090">
        <f t="shared" si="180"/>
        <v>0</v>
      </c>
      <c r="S1090">
        <f t="shared" si="181"/>
        <v>0</v>
      </c>
      <c r="T1090">
        <f t="shared" si="182"/>
        <v>0</v>
      </c>
      <c r="U1090">
        <f t="shared" si="183"/>
        <v>0</v>
      </c>
      <c r="V1090">
        <f t="shared" si="184"/>
        <v>0</v>
      </c>
      <c r="W1090">
        <f t="shared" si="185"/>
        <v>0</v>
      </c>
      <c r="X1090">
        <f t="shared" si="186"/>
        <v>0</v>
      </c>
      <c r="Y1090">
        <f t="shared" si="187"/>
        <v>0</v>
      </c>
      <c r="Z1090">
        <f t="shared" si="188"/>
        <v>0</v>
      </c>
      <c r="AA1090" t="str">
        <f>INDEX('Priority activities'!$D$5:$D$86,MATCH('Database for analysis'!C1090,'Priority activities'!$C$5:$C$86,0))</f>
        <v>FP governance structure and program coordination</v>
      </c>
    </row>
    <row r="1091" spans="2:27" ht="16.5" thickTop="1" thickBot="1" x14ac:dyDescent="0.3">
      <c r="B1091" t="s">
        <v>727</v>
      </c>
      <c r="C1091" s="22" t="str">
        <f>'Costing inputs'!$C$505</f>
        <v>Hire district focal points (SMC1.3)</v>
      </c>
      <c r="D1091" s="22" t="str">
        <f>'Costing inputs'!$U$505</f>
        <v>Districts</v>
      </c>
      <c r="E1091" s="22" t="str">
        <f>'Regional splits'!$C$14</f>
        <v>Central</v>
      </c>
      <c r="F1091">
        <f t="array" ref="F1091:O1106">'Costing inputs'!S505*'Costing inputs'!AP505:AY505*TRANSPOSE('Costing inputs'!W505:AL505)</f>
        <v>0</v>
      </c>
      <c r="G1091">
        <v>210000</v>
      </c>
      <c r="H1091">
        <v>210000</v>
      </c>
      <c r="I1091">
        <v>210000</v>
      </c>
      <c r="J1091">
        <v>210000</v>
      </c>
      <c r="K1091">
        <v>210000</v>
      </c>
      <c r="L1091">
        <v>210000</v>
      </c>
      <c r="M1091">
        <v>210000</v>
      </c>
      <c r="N1091">
        <v>0</v>
      </c>
      <c r="O1091">
        <v>0</v>
      </c>
      <c r="P1091" s="5">
        <f t="shared" si="178"/>
        <v>1470000</v>
      </c>
      <c r="Q1091">
        <f t="shared" si="179"/>
        <v>0</v>
      </c>
      <c r="R1091">
        <f t="shared" si="180"/>
        <v>210000</v>
      </c>
      <c r="S1091">
        <f t="shared" si="181"/>
        <v>210000</v>
      </c>
      <c r="T1091">
        <f t="shared" si="182"/>
        <v>210000</v>
      </c>
      <c r="U1091">
        <f t="shared" si="183"/>
        <v>210000</v>
      </c>
      <c r="V1091">
        <f t="shared" si="184"/>
        <v>210000</v>
      </c>
      <c r="W1091">
        <f t="shared" si="185"/>
        <v>210000</v>
      </c>
      <c r="X1091">
        <f t="shared" si="186"/>
        <v>210000</v>
      </c>
      <c r="Y1091">
        <f t="shared" si="187"/>
        <v>0</v>
      </c>
      <c r="Z1091">
        <f t="shared" si="188"/>
        <v>0</v>
      </c>
      <c r="AA1091" t="str">
        <f>INDEX('Priority activities'!$D$5:$D$86,MATCH('Database for analysis'!C1091,'Priority activities'!$C$5:$C$86,0))</f>
        <v>FP governance structure and program coordination</v>
      </c>
    </row>
    <row r="1092" spans="2:27" ht="16.5" thickTop="1" thickBot="1" x14ac:dyDescent="0.3">
      <c r="B1092" t="s">
        <v>727</v>
      </c>
      <c r="C1092" s="22" t="str">
        <f>'Costing inputs'!$C$505</f>
        <v>Hire district focal points (SMC1.3)</v>
      </c>
      <c r="D1092" s="22" t="str">
        <f>'Costing inputs'!$U$505</f>
        <v>Districts</v>
      </c>
      <c r="E1092" s="22" t="str">
        <f>'Regional splits'!$D$14</f>
        <v>Copperbelt</v>
      </c>
      <c r="F1092">
        <v>0</v>
      </c>
      <c r="G1092">
        <v>350000</v>
      </c>
      <c r="H1092">
        <v>350000</v>
      </c>
      <c r="I1092">
        <v>350000</v>
      </c>
      <c r="J1092">
        <v>350000</v>
      </c>
      <c r="K1092">
        <v>350000</v>
      </c>
      <c r="L1092">
        <v>350000</v>
      </c>
      <c r="M1092">
        <v>350000</v>
      </c>
      <c r="N1092">
        <v>0</v>
      </c>
      <c r="O1092">
        <v>0</v>
      </c>
      <c r="P1092" s="5">
        <f t="shared" ref="P1092:P1122" si="189">SUMIF(F1092:O1092,"&lt;&gt;#N/A")</f>
        <v>2450000</v>
      </c>
      <c r="Q1092">
        <f t="shared" ref="Q1092:Q1155" si="190">IF(ISNA(F1092),0,F1092)</f>
        <v>0</v>
      </c>
      <c r="R1092">
        <f t="shared" ref="R1092:R1155" si="191">IF(ISNA(G1092),0,G1092)</f>
        <v>350000</v>
      </c>
      <c r="S1092">
        <f t="shared" ref="S1092:S1155" si="192">IF(ISNA(H1092),0,H1092)</f>
        <v>350000</v>
      </c>
      <c r="T1092">
        <f t="shared" ref="T1092:T1155" si="193">IF(ISNA(I1092),0,I1092)</f>
        <v>350000</v>
      </c>
      <c r="U1092">
        <f t="shared" ref="U1092:U1155" si="194">IF(ISNA(J1092),0,J1092)</f>
        <v>350000</v>
      </c>
      <c r="V1092">
        <f t="shared" ref="V1092:V1155" si="195">IF(ISNA(K1092),0,K1092)</f>
        <v>350000</v>
      </c>
      <c r="W1092">
        <f t="shared" ref="W1092:W1155" si="196">IF(ISNA(L1092),0,L1092)</f>
        <v>350000</v>
      </c>
      <c r="X1092">
        <f t="shared" ref="X1092:X1155" si="197">IF(ISNA(M1092),0,M1092)</f>
        <v>350000</v>
      </c>
      <c r="Y1092">
        <f t="shared" ref="Y1092:Y1155" si="198">IF(ISNA(N1092),0,N1092)</f>
        <v>0</v>
      </c>
      <c r="Z1092">
        <f t="shared" ref="Z1092:Z1155" si="199">IF(ISNA(O1092),0,O1092)</f>
        <v>0</v>
      </c>
      <c r="AA1092" t="str">
        <f>INDEX('Priority activities'!$D$5:$D$86,MATCH('Database for analysis'!C1092,'Priority activities'!$C$5:$C$86,0))</f>
        <v>FP governance structure and program coordination</v>
      </c>
    </row>
    <row r="1093" spans="2:27" ht="16.5" thickTop="1" thickBot="1" x14ac:dyDescent="0.3">
      <c r="B1093" t="s">
        <v>727</v>
      </c>
      <c r="C1093" s="22" t="str">
        <f>'Costing inputs'!$C$505</f>
        <v>Hire district focal points (SMC1.3)</v>
      </c>
      <c r="D1093" s="22" t="str">
        <f>'Costing inputs'!$U$505</f>
        <v>Districts</v>
      </c>
      <c r="E1093" s="22" t="str">
        <f>'Regional splits'!$E$14</f>
        <v>Eastern</v>
      </c>
      <c r="F1093">
        <v>0</v>
      </c>
      <c r="G1093">
        <v>245000</v>
      </c>
      <c r="H1093">
        <v>245000</v>
      </c>
      <c r="I1093">
        <v>245000</v>
      </c>
      <c r="J1093">
        <v>245000</v>
      </c>
      <c r="K1093">
        <v>245000</v>
      </c>
      <c r="L1093">
        <v>245000</v>
      </c>
      <c r="M1093">
        <v>245000</v>
      </c>
      <c r="N1093">
        <v>0</v>
      </c>
      <c r="O1093">
        <v>0</v>
      </c>
      <c r="P1093" s="5">
        <f t="shared" si="189"/>
        <v>1715000</v>
      </c>
      <c r="Q1093">
        <f t="shared" si="190"/>
        <v>0</v>
      </c>
      <c r="R1093">
        <f t="shared" si="191"/>
        <v>245000</v>
      </c>
      <c r="S1093">
        <f t="shared" si="192"/>
        <v>245000</v>
      </c>
      <c r="T1093">
        <f t="shared" si="193"/>
        <v>245000</v>
      </c>
      <c r="U1093">
        <f t="shared" si="194"/>
        <v>245000</v>
      </c>
      <c r="V1093">
        <f t="shared" si="195"/>
        <v>245000</v>
      </c>
      <c r="W1093">
        <f t="shared" si="196"/>
        <v>245000</v>
      </c>
      <c r="X1093">
        <f t="shared" si="197"/>
        <v>245000</v>
      </c>
      <c r="Y1093">
        <f t="shared" si="198"/>
        <v>0</v>
      </c>
      <c r="Z1093">
        <f t="shared" si="199"/>
        <v>0</v>
      </c>
      <c r="AA1093" t="str">
        <f>INDEX('Priority activities'!$D$5:$D$86,MATCH('Database for analysis'!C1093,'Priority activities'!$C$5:$C$86,0))</f>
        <v>FP governance structure and program coordination</v>
      </c>
    </row>
    <row r="1094" spans="2:27" ht="16.5" thickTop="1" thickBot="1" x14ac:dyDescent="0.3">
      <c r="B1094" t="s">
        <v>727</v>
      </c>
      <c r="C1094" s="22" t="str">
        <f>'Costing inputs'!$C$505</f>
        <v>Hire district focal points (SMC1.3)</v>
      </c>
      <c r="D1094" s="22" t="str">
        <f>'Costing inputs'!$U$505</f>
        <v>Districts</v>
      </c>
      <c r="E1094" s="22" t="str">
        <f>'Regional splits'!$F$14</f>
        <v>Luapula</v>
      </c>
      <c r="F1094">
        <v>0</v>
      </c>
      <c r="G1094">
        <v>245000</v>
      </c>
      <c r="H1094">
        <v>245000</v>
      </c>
      <c r="I1094">
        <v>245000</v>
      </c>
      <c r="J1094">
        <v>245000</v>
      </c>
      <c r="K1094">
        <v>245000</v>
      </c>
      <c r="L1094">
        <v>245000</v>
      </c>
      <c r="M1094">
        <v>245000</v>
      </c>
      <c r="N1094">
        <v>0</v>
      </c>
      <c r="O1094">
        <v>0</v>
      </c>
      <c r="P1094" s="5">
        <f t="shared" si="189"/>
        <v>1715000</v>
      </c>
      <c r="Q1094">
        <f t="shared" si="190"/>
        <v>0</v>
      </c>
      <c r="R1094">
        <f t="shared" si="191"/>
        <v>245000</v>
      </c>
      <c r="S1094">
        <f t="shared" si="192"/>
        <v>245000</v>
      </c>
      <c r="T1094">
        <f t="shared" si="193"/>
        <v>245000</v>
      </c>
      <c r="U1094">
        <f t="shared" si="194"/>
        <v>245000</v>
      </c>
      <c r="V1094">
        <f t="shared" si="195"/>
        <v>245000</v>
      </c>
      <c r="W1094">
        <f t="shared" si="196"/>
        <v>245000</v>
      </c>
      <c r="X1094">
        <f t="shared" si="197"/>
        <v>245000</v>
      </c>
      <c r="Y1094">
        <f t="shared" si="198"/>
        <v>0</v>
      </c>
      <c r="Z1094">
        <f t="shared" si="199"/>
        <v>0</v>
      </c>
      <c r="AA1094" t="str">
        <f>INDEX('Priority activities'!$D$5:$D$86,MATCH('Database for analysis'!C1094,'Priority activities'!$C$5:$C$86,0))</f>
        <v>FP governance structure and program coordination</v>
      </c>
    </row>
    <row r="1095" spans="2:27" ht="16.5" thickTop="1" thickBot="1" x14ac:dyDescent="0.3">
      <c r="B1095" t="s">
        <v>727</v>
      </c>
      <c r="C1095" s="22" t="str">
        <f>'Costing inputs'!$C$505</f>
        <v>Hire district focal points (SMC1.3)</v>
      </c>
      <c r="D1095" s="22" t="str">
        <f>'Costing inputs'!$U$505</f>
        <v>Districts</v>
      </c>
      <c r="E1095" s="22" t="str">
        <f>'Regional splits'!$G$14</f>
        <v>Lusaka</v>
      </c>
      <c r="F1095">
        <v>0</v>
      </c>
      <c r="G1095">
        <v>140000</v>
      </c>
      <c r="H1095">
        <v>140000</v>
      </c>
      <c r="I1095">
        <v>140000</v>
      </c>
      <c r="J1095">
        <v>140000</v>
      </c>
      <c r="K1095">
        <v>140000</v>
      </c>
      <c r="L1095">
        <v>140000</v>
      </c>
      <c r="M1095">
        <v>140000</v>
      </c>
      <c r="N1095">
        <v>0</v>
      </c>
      <c r="O1095">
        <v>0</v>
      </c>
      <c r="P1095" s="5">
        <f t="shared" si="189"/>
        <v>980000</v>
      </c>
      <c r="Q1095">
        <f t="shared" si="190"/>
        <v>0</v>
      </c>
      <c r="R1095">
        <f t="shared" si="191"/>
        <v>140000</v>
      </c>
      <c r="S1095">
        <f t="shared" si="192"/>
        <v>140000</v>
      </c>
      <c r="T1095">
        <f t="shared" si="193"/>
        <v>140000</v>
      </c>
      <c r="U1095">
        <f t="shared" si="194"/>
        <v>140000</v>
      </c>
      <c r="V1095">
        <f t="shared" si="195"/>
        <v>140000</v>
      </c>
      <c r="W1095">
        <f t="shared" si="196"/>
        <v>140000</v>
      </c>
      <c r="X1095">
        <f t="shared" si="197"/>
        <v>140000</v>
      </c>
      <c r="Y1095">
        <f t="shared" si="198"/>
        <v>0</v>
      </c>
      <c r="Z1095">
        <f t="shared" si="199"/>
        <v>0</v>
      </c>
      <c r="AA1095" t="str">
        <f>INDEX('Priority activities'!$D$5:$D$86,MATCH('Database for analysis'!C1095,'Priority activities'!$C$5:$C$86,0))</f>
        <v>FP governance structure and program coordination</v>
      </c>
    </row>
    <row r="1096" spans="2:27" ht="16.5" thickTop="1" thickBot="1" x14ac:dyDescent="0.3">
      <c r="B1096" t="s">
        <v>727</v>
      </c>
      <c r="C1096" s="22" t="str">
        <f>'Costing inputs'!$C$505</f>
        <v>Hire district focal points (SMC1.3)</v>
      </c>
      <c r="D1096" s="22" t="str">
        <f>'Costing inputs'!$U$505</f>
        <v>Districts</v>
      </c>
      <c r="E1096" s="22" t="str">
        <f>'Regional splits'!$H$14</f>
        <v>Muchinga</v>
      </c>
      <c r="F1096">
        <v>0</v>
      </c>
      <c r="G1096">
        <v>175000</v>
      </c>
      <c r="H1096">
        <v>175000</v>
      </c>
      <c r="I1096">
        <v>175000</v>
      </c>
      <c r="J1096">
        <v>175000</v>
      </c>
      <c r="K1096">
        <v>175000</v>
      </c>
      <c r="L1096">
        <v>175000</v>
      </c>
      <c r="M1096">
        <v>175000</v>
      </c>
      <c r="N1096">
        <v>0</v>
      </c>
      <c r="O1096">
        <v>0</v>
      </c>
      <c r="P1096" s="5">
        <f t="shared" si="189"/>
        <v>1225000</v>
      </c>
      <c r="Q1096">
        <f t="shared" si="190"/>
        <v>0</v>
      </c>
      <c r="R1096">
        <f t="shared" si="191"/>
        <v>175000</v>
      </c>
      <c r="S1096">
        <f t="shared" si="192"/>
        <v>175000</v>
      </c>
      <c r="T1096">
        <f t="shared" si="193"/>
        <v>175000</v>
      </c>
      <c r="U1096">
        <f t="shared" si="194"/>
        <v>175000</v>
      </c>
      <c r="V1096">
        <f t="shared" si="195"/>
        <v>175000</v>
      </c>
      <c r="W1096">
        <f t="shared" si="196"/>
        <v>175000</v>
      </c>
      <c r="X1096">
        <f t="shared" si="197"/>
        <v>175000</v>
      </c>
      <c r="Y1096">
        <f t="shared" si="198"/>
        <v>0</v>
      </c>
      <c r="Z1096">
        <f t="shared" si="199"/>
        <v>0</v>
      </c>
      <c r="AA1096" t="str">
        <f>INDEX('Priority activities'!$D$5:$D$86,MATCH('Database for analysis'!C1096,'Priority activities'!$C$5:$C$86,0))</f>
        <v>FP governance structure and program coordination</v>
      </c>
    </row>
    <row r="1097" spans="2:27" ht="16.5" thickTop="1" thickBot="1" x14ac:dyDescent="0.3">
      <c r="B1097" t="s">
        <v>727</v>
      </c>
      <c r="C1097" s="22" t="str">
        <f>'Costing inputs'!$C$505</f>
        <v>Hire district focal points (SMC1.3)</v>
      </c>
      <c r="D1097" s="22" t="str">
        <f>'Costing inputs'!$U$505</f>
        <v>Districts</v>
      </c>
      <c r="E1097" s="22" t="str">
        <f>'Regional splits'!$I$14</f>
        <v>Northern</v>
      </c>
      <c r="F1097">
        <v>0</v>
      </c>
      <c r="G1097">
        <v>280000</v>
      </c>
      <c r="H1097">
        <v>280000</v>
      </c>
      <c r="I1097">
        <v>280000</v>
      </c>
      <c r="J1097">
        <v>280000</v>
      </c>
      <c r="K1097">
        <v>280000</v>
      </c>
      <c r="L1097">
        <v>280000</v>
      </c>
      <c r="M1097">
        <v>280000</v>
      </c>
      <c r="N1097">
        <v>0</v>
      </c>
      <c r="O1097">
        <v>0</v>
      </c>
      <c r="P1097" s="5">
        <f t="shared" si="189"/>
        <v>1960000</v>
      </c>
      <c r="Q1097">
        <f t="shared" si="190"/>
        <v>0</v>
      </c>
      <c r="R1097">
        <f t="shared" si="191"/>
        <v>280000</v>
      </c>
      <c r="S1097">
        <f t="shared" si="192"/>
        <v>280000</v>
      </c>
      <c r="T1097">
        <f t="shared" si="193"/>
        <v>280000</v>
      </c>
      <c r="U1097">
        <f t="shared" si="194"/>
        <v>280000</v>
      </c>
      <c r="V1097">
        <f t="shared" si="195"/>
        <v>280000</v>
      </c>
      <c r="W1097">
        <f t="shared" si="196"/>
        <v>280000</v>
      </c>
      <c r="X1097">
        <f t="shared" si="197"/>
        <v>280000</v>
      </c>
      <c r="Y1097">
        <f t="shared" si="198"/>
        <v>0</v>
      </c>
      <c r="Z1097">
        <f t="shared" si="199"/>
        <v>0</v>
      </c>
      <c r="AA1097" t="str">
        <f>INDEX('Priority activities'!$D$5:$D$86,MATCH('Database for analysis'!C1097,'Priority activities'!$C$5:$C$86,0))</f>
        <v>FP governance structure and program coordination</v>
      </c>
    </row>
    <row r="1098" spans="2:27" ht="16.5" thickTop="1" thickBot="1" x14ac:dyDescent="0.3">
      <c r="B1098" t="s">
        <v>727</v>
      </c>
      <c r="C1098" s="22" t="str">
        <f>'Costing inputs'!$C$505</f>
        <v>Hire district focal points (SMC1.3)</v>
      </c>
      <c r="D1098" s="22" t="str">
        <f>'Costing inputs'!$U$505</f>
        <v>Districts</v>
      </c>
      <c r="E1098" s="22" t="str">
        <f>'Regional splits'!$J$14</f>
        <v>North Western</v>
      </c>
      <c r="F1098">
        <v>0</v>
      </c>
      <c r="G1098">
        <v>245000</v>
      </c>
      <c r="H1098">
        <v>245000</v>
      </c>
      <c r="I1098">
        <v>245000</v>
      </c>
      <c r="J1098">
        <v>245000</v>
      </c>
      <c r="K1098">
        <v>245000</v>
      </c>
      <c r="L1098">
        <v>245000</v>
      </c>
      <c r="M1098">
        <v>245000</v>
      </c>
      <c r="N1098">
        <v>0</v>
      </c>
      <c r="O1098">
        <v>0</v>
      </c>
      <c r="P1098" s="5">
        <f t="shared" si="189"/>
        <v>1715000</v>
      </c>
      <c r="Q1098">
        <f t="shared" si="190"/>
        <v>0</v>
      </c>
      <c r="R1098">
        <f t="shared" si="191"/>
        <v>245000</v>
      </c>
      <c r="S1098">
        <f t="shared" si="192"/>
        <v>245000</v>
      </c>
      <c r="T1098">
        <f t="shared" si="193"/>
        <v>245000</v>
      </c>
      <c r="U1098">
        <f t="shared" si="194"/>
        <v>245000</v>
      </c>
      <c r="V1098">
        <f t="shared" si="195"/>
        <v>245000</v>
      </c>
      <c r="W1098">
        <f t="shared" si="196"/>
        <v>245000</v>
      </c>
      <c r="X1098">
        <f t="shared" si="197"/>
        <v>245000</v>
      </c>
      <c r="Y1098">
        <f t="shared" si="198"/>
        <v>0</v>
      </c>
      <c r="Z1098">
        <f t="shared" si="199"/>
        <v>0</v>
      </c>
      <c r="AA1098" t="str">
        <f>INDEX('Priority activities'!$D$5:$D$86,MATCH('Database for analysis'!C1098,'Priority activities'!$C$5:$C$86,0))</f>
        <v>FP governance structure and program coordination</v>
      </c>
    </row>
    <row r="1099" spans="2:27" ht="16.5" thickTop="1" thickBot="1" x14ac:dyDescent="0.3">
      <c r="B1099" t="s">
        <v>727</v>
      </c>
      <c r="C1099" s="22" t="str">
        <f>'Costing inputs'!$C$505</f>
        <v>Hire district focal points (SMC1.3)</v>
      </c>
      <c r="D1099" s="22" t="str">
        <f>'Costing inputs'!$U$505</f>
        <v>Districts</v>
      </c>
      <c r="E1099" s="22" t="str">
        <f>'Regional splits'!$K$14</f>
        <v>Southern</v>
      </c>
      <c r="F1099">
        <v>0</v>
      </c>
      <c r="G1099">
        <v>385000.00000000006</v>
      </c>
      <c r="H1099">
        <v>385000.00000000006</v>
      </c>
      <c r="I1099">
        <v>385000.00000000006</v>
      </c>
      <c r="J1099">
        <v>385000.00000000006</v>
      </c>
      <c r="K1099">
        <v>385000.00000000006</v>
      </c>
      <c r="L1099">
        <v>385000.00000000006</v>
      </c>
      <c r="M1099">
        <v>385000.00000000006</v>
      </c>
      <c r="N1099">
        <v>0</v>
      </c>
      <c r="O1099">
        <v>0</v>
      </c>
      <c r="P1099" s="5">
        <f t="shared" si="189"/>
        <v>2695000.0000000005</v>
      </c>
      <c r="Q1099">
        <f t="shared" si="190"/>
        <v>0</v>
      </c>
      <c r="R1099">
        <f t="shared" si="191"/>
        <v>385000.00000000006</v>
      </c>
      <c r="S1099">
        <f t="shared" si="192"/>
        <v>385000.00000000006</v>
      </c>
      <c r="T1099">
        <f t="shared" si="193"/>
        <v>385000.00000000006</v>
      </c>
      <c r="U1099">
        <f t="shared" si="194"/>
        <v>385000.00000000006</v>
      </c>
      <c r="V1099">
        <f t="shared" si="195"/>
        <v>385000.00000000006</v>
      </c>
      <c r="W1099">
        <f t="shared" si="196"/>
        <v>385000.00000000006</v>
      </c>
      <c r="X1099">
        <f t="shared" si="197"/>
        <v>385000.00000000006</v>
      </c>
      <c r="Y1099">
        <f t="shared" si="198"/>
        <v>0</v>
      </c>
      <c r="Z1099">
        <f t="shared" si="199"/>
        <v>0</v>
      </c>
      <c r="AA1099" t="str">
        <f>INDEX('Priority activities'!$D$5:$D$86,MATCH('Database for analysis'!C1099,'Priority activities'!$C$5:$C$86,0))</f>
        <v>FP governance structure and program coordination</v>
      </c>
    </row>
    <row r="1100" spans="2:27" ht="16.5" thickTop="1" thickBot="1" x14ac:dyDescent="0.3">
      <c r="B1100" t="s">
        <v>727</v>
      </c>
      <c r="C1100" s="22" t="str">
        <f>'Costing inputs'!$C$505</f>
        <v>Hire district focal points (SMC1.3)</v>
      </c>
      <c r="D1100" s="22" t="str">
        <f>'Costing inputs'!$U$505</f>
        <v>Districts</v>
      </c>
      <c r="E1100" s="22" t="str">
        <f>'Regional splits'!$L$14</f>
        <v>Western</v>
      </c>
      <c r="F1100">
        <v>0</v>
      </c>
      <c r="G1100">
        <v>245000</v>
      </c>
      <c r="H1100">
        <v>245000</v>
      </c>
      <c r="I1100">
        <v>245000</v>
      </c>
      <c r="J1100">
        <v>245000</v>
      </c>
      <c r="K1100">
        <v>245000</v>
      </c>
      <c r="L1100">
        <v>245000</v>
      </c>
      <c r="M1100">
        <v>245000</v>
      </c>
      <c r="N1100">
        <v>0</v>
      </c>
      <c r="O1100">
        <v>0</v>
      </c>
      <c r="P1100" s="5">
        <f t="shared" si="189"/>
        <v>1715000</v>
      </c>
      <c r="Q1100">
        <f t="shared" si="190"/>
        <v>0</v>
      </c>
      <c r="R1100">
        <f t="shared" si="191"/>
        <v>245000</v>
      </c>
      <c r="S1100">
        <f t="shared" si="192"/>
        <v>245000</v>
      </c>
      <c r="T1100">
        <f t="shared" si="193"/>
        <v>245000</v>
      </c>
      <c r="U1100">
        <f t="shared" si="194"/>
        <v>245000</v>
      </c>
      <c r="V1100">
        <f t="shared" si="195"/>
        <v>245000</v>
      </c>
      <c r="W1100">
        <f t="shared" si="196"/>
        <v>245000</v>
      </c>
      <c r="X1100">
        <f t="shared" si="197"/>
        <v>245000</v>
      </c>
      <c r="Y1100">
        <f t="shared" si="198"/>
        <v>0</v>
      </c>
      <c r="Z1100">
        <f t="shared" si="199"/>
        <v>0</v>
      </c>
      <c r="AA1100" t="str">
        <f>INDEX('Priority activities'!$D$5:$D$86,MATCH('Database for analysis'!C1100,'Priority activities'!$C$5:$C$86,0))</f>
        <v>FP governance structure and program coordination</v>
      </c>
    </row>
    <row r="1101" spans="2:27" ht="16.5" thickTop="1" thickBot="1" x14ac:dyDescent="0.3">
      <c r="B1101" t="s">
        <v>727</v>
      </c>
      <c r="C1101" s="22" t="str">
        <f>'Costing inputs'!$C$505</f>
        <v>Hire district focal points (SMC1.3)</v>
      </c>
      <c r="D1101" s="22" t="str">
        <f>'Costing inputs'!$U$505</f>
        <v>Districts</v>
      </c>
      <c r="E1101" s="22">
        <f>'Regional splits'!$M$14</f>
        <v>0</v>
      </c>
      <c r="F1101">
        <v>0</v>
      </c>
      <c r="G1101">
        <v>0</v>
      </c>
      <c r="H1101">
        <v>0</v>
      </c>
      <c r="I1101">
        <v>0</v>
      </c>
      <c r="J1101">
        <v>0</v>
      </c>
      <c r="K1101">
        <v>0</v>
      </c>
      <c r="L1101">
        <v>0</v>
      </c>
      <c r="M1101">
        <v>0</v>
      </c>
      <c r="N1101">
        <v>0</v>
      </c>
      <c r="O1101">
        <v>0</v>
      </c>
      <c r="P1101" s="5">
        <f t="shared" si="189"/>
        <v>0</v>
      </c>
      <c r="Q1101">
        <f t="shared" si="190"/>
        <v>0</v>
      </c>
      <c r="R1101">
        <f t="shared" si="191"/>
        <v>0</v>
      </c>
      <c r="S1101">
        <f t="shared" si="192"/>
        <v>0</v>
      </c>
      <c r="T1101">
        <f t="shared" si="193"/>
        <v>0</v>
      </c>
      <c r="U1101">
        <f t="shared" si="194"/>
        <v>0</v>
      </c>
      <c r="V1101">
        <f t="shared" si="195"/>
        <v>0</v>
      </c>
      <c r="W1101">
        <f t="shared" si="196"/>
        <v>0</v>
      </c>
      <c r="X1101">
        <f t="shared" si="197"/>
        <v>0</v>
      </c>
      <c r="Y1101">
        <f t="shared" si="198"/>
        <v>0</v>
      </c>
      <c r="Z1101">
        <f t="shared" si="199"/>
        <v>0</v>
      </c>
      <c r="AA1101" t="str">
        <f>INDEX('Priority activities'!$D$5:$D$86,MATCH('Database for analysis'!C1101,'Priority activities'!$C$5:$C$86,0))</f>
        <v>FP governance structure and program coordination</v>
      </c>
    </row>
    <row r="1102" spans="2:27" ht="16.5" thickTop="1" thickBot="1" x14ac:dyDescent="0.3">
      <c r="B1102" t="s">
        <v>727</v>
      </c>
      <c r="C1102" s="22" t="str">
        <f>'Costing inputs'!$C$505</f>
        <v>Hire district focal points (SMC1.3)</v>
      </c>
      <c r="D1102" s="22" t="str">
        <f>'Costing inputs'!$U$505</f>
        <v>Districts</v>
      </c>
      <c r="E1102" s="22">
        <f>'Regional splits'!$N$14</f>
        <v>0</v>
      </c>
      <c r="F1102">
        <v>0</v>
      </c>
      <c r="G1102">
        <v>0</v>
      </c>
      <c r="H1102">
        <v>0</v>
      </c>
      <c r="I1102">
        <v>0</v>
      </c>
      <c r="J1102">
        <v>0</v>
      </c>
      <c r="K1102">
        <v>0</v>
      </c>
      <c r="L1102">
        <v>0</v>
      </c>
      <c r="M1102">
        <v>0</v>
      </c>
      <c r="N1102">
        <v>0</v>
      </c>
      <c r="O1102">
        <v>0</v>
      </c>
      <c r="P1102" s="5">
        <f t="shared" si="189"/>
        <v>0</v>
      </c>
      <c r="Q1102">
        <f t="shared" si="190"/>
        <v>0</v>
      </c>
      <c r="R1102">
        <f t="shared" si="191"/>
        <v>0</v>
      </c>
      <c r="S1102">
        <f t="shared" si="192"/>
        <v>0</v>
      </c>
      <c r="T1102">
        <f t="shared" si="193"/>
        <v>0</v>
      </c>
      <c r="U1102">
        <f t="shared" si="194"/>
        <v>0</v>
      </c>
      <c r="V1102">
        <f t="shared" si="195"/>
        <v>0</v>
      </c>
      <c r="W1102">
        <f t="shared" si="196"/>
        <v>0</v>
      </c>
      <c r="X1102">
        <f t="shared" si="197"/>
        <v>0</v>
      </c>
      <c r="Y1102">
        <f t="shared" si="198"/>
        <v>0</v>
      </c>
      <c r="Z1102">
        <f t="shared" si="199"/>
        <v>0</v>
      </c>
      <c r="AA1102" t="str">
        <f>INDEX('Priority activities'!$D$5:$D$86,MATCH('Database for analysis'!C1102,'Priority activities'!$C$5:$C$86,0))</f>
        <v>FP governance structure and program coordination</v>
      </c>
    </row>
    <row r="1103" spans="2:27" ht="16.5" thickTop="1" thickBot="1" x14ac:dyDescent="0.3">
      <c r="B1103" t="s">
        <v>727</v>
      </c>
      <c r="C1103" s="22" t="str">
        <f>'Costing inputs'!$C$505</f>
        <v>Hire district focal points (SMC1.3)</v>
      </c>
      <c r="D1103" s="22" t="str">
        <f>'Costing inputs'!$U$505</f>
        <v>Districts</v>
      </c>
      <c r="E1103" s="22">
        <f>'Regional splits'!$O$14</f>
        <v>0</v>
      </c>
      <c r="F1103">
        <v>0</v>
      </c>
      <c r="G1103">
        <v>0</v>
      </c>
      <c r="H1103">
        <v>0</v>
      </c>
      <c r="I1103">
        <v>0</v>
      </c>
      <c r="J1103">
        <v>0</v>
      </c>
      <c r="K1103">
        <v>0</v>
      </c>
      <c r="L1103">
        <v>0</v>
      </c>
      <c r="M1103">
        <v>0</v>
      </c>
      <c r="N1103">
        <v>0</v>
      </c>
      <c r="O1103">
        <v>0</v>
      </c>
      <c r="P1103" s="5">
        <f t="shared" si="189"/>
        <v>0</v>
      </c>
      <c r="Q1103">
        <f t="shared" si="190"/>
        <v>0</v>
      </c>
      <c r="R1103">
        <f t="shared" si="191"/>
        <v>0</v>
      </c>
      <c r="S1103">
        <f t="shared" si="192"/>
        <v>0</v>
      </c>
      <c r="T1103">
        <f t="shared" si="193"/>
        <v>0</v>
      </c>
      <c r="U1103">
        <f t="shared" si="194"/>
        <v>0</v>
      </c>
      <c r="V1103">
        <f t="shared" si="195"/>
        <v>0</v>
      </c>
      <c r="W1103">
        <f t="shared" si="196"/>
        <v>0</v>
      </c>
      <c r="X1103">
        <f t="shared" si="197"/>
        <v>0</v>
      </c>
      <c r="Y1103">
        <f t="shared" si="198"/>
        <v>0</v>
      </c>
      <c r="Z1103">
        <f t="shared" si="199"/>
        <v>0</v>
      </c>
      <c r="AA1103" t="str">
        <f>INDEX('Priority activities'!$D$5:$D$86,MATCH('Database for analysis'!C1103,'Priority activities'!$C$5:$C$86,0))</f>
        <v>FP governance structure and program coordination</v>
      </c>
    </row>
    <row r="1104" spans="2:27" ht="16.5" thickTop="1" thickBot="1" x14ac:dyDescent="0.3">
      <c r="B1104" t="s">
        <v>727</v>
      </c>
      <c r="C1104" s="22" t="str">
        <f>'Costing inputs'!$C$505</f>
        <v>Hire district focal points (SMC1.3)</v>
      </c>
      <c r="D1104" s="22" t="str">
        <f>'Costing inputs'!$U$505</f>
        <v>Districts</v>
      </c>
      <c r="E1104" s="22">
        <f>'Regional splits'!$P$14</f>
        <v>0</v>
      </c>
      <c r="F1104">
        <v>0</v>
      </c>
      <c r="G1104">
        <v>0</v>
      </c>
      <c r="H1104">
        <v>0</v>
      </c>
      <c r="I1104">
        <v>0</v>
      </c>
      <c r="J1104">
        <v>0</v>
      </c>
      <c r="K1104">
        <v>0</v>
      </c>
      <c r="L1104">
        <v>0</v>
      </c>
      <c r="M1104">
        <v>0</v>
      </c>
      <c r="N1104">
        <v>0</v>
      </c>
      <c r="O1104">
        <v>0</v>
      </c>
      <c r="P1104" s="5">
        <f t="shared" si="189"/>
        <v>0</v>
      </c>
      <c r="Q1104">
        <f t="shared" si="190"/>
        <v>0</v>
      </c>
      <c r="R1104">
        <f t="shared" si="191"/>
        <v>0</v>
      </c>
      <c r="S1104">
        <f t="shared" si="192"/>
        <v>0</v>
      </c>
      <c r="T1104">
        <f t="shared" si="193"/>
        <v>0</v>
      </c>
      <c r="U1104">
        <f t="shared" si="194"/>
        <v>0</v>
      </c>
      <c r="V1104">
        <f t="shared" si="195"/>
        <v>0</v>
      </c>
      <c r="W1104">
        <f t="shared" si="196"/>
        <v>0</v>
      </c>
      <c r="X1104">
        <f t="shared" si="197"/>
        <v>0</v>
      </c>
      <c r="Y1104">
        <f t="shared" si="198"/>
        <v>0</v>
      </c>
      <c r="Z1104">
        <f t="shared" si="199"/>
        <v>0</v>
      </c>
      <c r="AA1104" t="str">
        <f>INDEX('Priority activities'!$D$5:$D$86,MATCH('Database for analysis'!C1104,'Priority activities'!$C$5:$C$86,0))</f>
        <v>FP governance structure and program coordination</v>
      </c>
    </row>
    <row r="1105" spans="2:27" ht="16.5" thickTop="1" thickBot="1" x14ac:dyDescent="0.3">
      <c r="B1105" t="s">
        <v>727</v>
      </c>
      <c r="C1105" s="22" t="str">
        <f>'Costing inputs'!$C$505</f>
        <v>Hire district focal points (SMC1.3)</v>
      </c>
      <c r="D1105" s="22" t="str">
        <f>'Costing inputs'!$U$505</f>
        <v>Districts</v>
      </c>
      <c r="E1105" s="22">
        <f>'Regional splits'!$Q$14</f>
        <v>0</v>
      </c>
      <c r="F1105">
        <v>0</v>
      </c>
      <c r="G1105">
        <v>0</v>
      </c>
      <c r="H1105">
        <v>0</v>
      </c>
      <c r="I1105">
        <v>0</v>
      </c>
      <c r="J1105">
        <v>0</v>
      </c>
      <c r="K1105">
        <v>0</v>
      </c>
      <c r="L1105">
        <v>0</v>
      </c>
      <c r="M1105">
        <v>0</v>
      </c>
      <c r="N1105">
        <v>0</v>
      </c>
      <c r="O1105">
        <v>0</v>
      </c>
      <c r="P1105" s="5">
        <f t="shared" si="189"/>
        <v>0</v>
      </c>
      <c r="Q1105">
        <f t="shared" si="190"/>
        <v>0</v>
      </c>
      <c r="R1105">
        <f t="shared" si="191"/>
        <v>0</v>
      </c>
      <c r="S1105">
        <f t="shared" si="192"/>
        <v>0</v>
      </c>
      <c r="T1105">
        <f t="shared" si="193"/>
        <v>0</v>
      </c>
      <c r="U1105">
        <f t="shared" si="194"/>
        <v>0</v>
      </c>
      <c r="V1105">
        <f t="shared" si="195"/>
        <v>0</v>
      </c>
      <c r="W1105">
        <f t="shared" si="196"/>
        <v>0</v>
      </c>
      <c r="X1105">
        <f t="shared" si="197"/>
        <v>0</v>
      </c>
      <c r="Y1105">
        <f t="shared" si="198"/>
        <v>0</v>
      </c>
      <c r="Z1105">
        <f t="shared" si="199"/>
        <v>0</v>
      </c>
      <c r="AA1105" t="str">
        <f>INDEX('Priority activities'!$D$5:$D$86,MATCH('Database for analysis'!C1105,'Priority activities'!$C$5:$C$86,0))</f>
        <v>FP governance structure and program coordination</v>
      </c>
    </row>
    <row r="1106" spans="2:27" ht="16.5" thickTop="1" thickBot="1" x14ac:dyDescent="0.3">
      <c r="B1106" t="s">
        <v>727</v>
      </c>
      <c r="C1106" s="22" t="str">
        <f>'Costing inputs'!$C$505</f>
        <v>Hire district focal points (SMC1.3)</v>
      </c>
      <c r="D1106" s="22" t="str">
        <f>'Costing inputs'!$U$505</f>
        <v>Districts</v>
      </c>
      <c r="E1106" s="22" t="str">
        <f>'Regional splits'!$R$14</f>
        <v>National-level</v>
      </c>
      <c r="F1106">
        <v>0</v>
      </c>
      <c r="G1106">
        <v>0</v>
      </c>
      <c r="H1106">
        <v>0</v>
      </c>
      <c r="I1106">
        <v>0</v>
      </c>
      <c r="J1106">
        <v>0</v>
      </c>
      <c r="K1106">
        <v>0</v>
      </c>
      <c r="L1106">
        <v>0</v>
      </c>
      <c r="M1106">
        <v>0</v>
      </c>
      <c r="N1106">
        <v>0</v>
      </c>
      <c r="O1106">
        <v>0</v>
      </c>
      <c r="P1106" s="5">
        <f t="shared" si="189"/>
        <v>0</v>
      </c>
      <c r="Q1106">
        <f t="shared" si="190"/>
        <v>0</v>
      </c>
      <c r="R1106">
        <f t="shared" si="191"/>
        <v>0</v>
      </c>
      <c r="S1106">
        <f t="shared" si="192"/>
        <v>0</v>
      </c>
      <c r="T1106">
        <f t="shared" si="193"/>
        <v>0</v>
      </c>
      <c r="U1106">
        <f t="shared" si="194"/>
        <v>0</v>
      </c>
      <c r="V1106">
        <f t="shared" si="195"/>
        <v>0</v>
      </c>
      <c r="W1106">
        <f t="shared" si="196"/>
        <v>0</v>
      </c>
      <c r="X1106">
        <f t="shared" si="197"/>
        <v>0</v>
      </c>
      <c r="Y1106">
        <f t="shared" si="198"/>
        <v>0</v>
      </c>
      <c r="Z1106">
        <f t="shared" si="199"/>
        <v>0</v>
      </c>
      <c r="AA1106" t="str">
        <f>INDEX('Priority activities'!$D$5:$D$86,MATCH('Database for analysis'!C1106,'Priority activities'!$C$5:$C$86,0))</f>
        <v>FP governance structure and program coordination</v>
      </c>
    </row>
    <row r="1107" spans="2:27" ht="16.5" thickTop="1" thickBot="1" x14ac:dyDescent="0.3">
      <c r="B1107" t="s">
        <v>727</v>
      </c>
      <c r="C1107" s="22" t="str">
        <f>'Costing inputs'!$C$507</f>
        <v>Approve provincial objectives (SMC1.3)</v>
      </c>
      <c r="D1107" s="22" t="str">
        <f>'Costing inputs'!$U$507</f>
        <v>Evenly by province/region</v>
      </c>
      <c r="E1107" s="22" t="str">
        <f>'Regional splits'!$C$14</f>
        <v>Central</v>
      </c>
      <c r="F1107">
        <f t="array" ref="F1107:O1122">'Costing inputs'!S507*'Costing inputs'!AP507:AY507*TRANSPOSE('Costing inputs'!W507:AL507)</f>
        <v>0</v>
      </c>
      <c r="G1107">
        <v>8673.2991999999995</v>
      </c>
      <c r="H1107">
        <v>0</v>
      </c>
      <c r="I1107">
        <v>0</v>
      </c>
      <c r="J1107">
        <v>8673.2991999999995</v>
      </c>
      <c r="K1107">
        <v>0</v>
      </c>
      <c r="L1107">
        <v>0</v>
      </c>
      <c r="M1107">
        <v>0</v>
      </c>
      <c r="N1107">
        <v>0</v>
      </c>
      <c r="O1107">
        <v>0</v>
      </c>
      <c r="P1107" s="5">
        <f t="shared" si="189"/>
        <v>17346.598399999999</v>
      </c>
      <c r="Q1107">
        <f t="shared" si="190"/>
        <v>0</v>
      </c>
      <c r="R1107">
        <f t="shared" si="191"/>
        <v>8673.2991999999995</v>
      </c>
      <c r="S1107">
        <f t="shared" si="192"/>
        <v>0</v>
      </c>
      <c r="T1107">
        <f t="shared" si="193"/>
        <v>0</v>
      </c>
      <c r="U1107">
        <f t="shared" si="194"/>
        <v>8673.2991999999995</v>
      </c>
      <c r="V1107">
        <f t="shared" si="195"/>
        <v>0</v>
      </c>
      <c r="W1107">
        <f t="shared" si="196"/>
        <v>0</v>
      </c>
      <c r="X1107">
        <f t="shared" si="197"/>
        <v>0</v>
      </c>
      <c r="Y1107">
        <f t="shared" si="198"/>
        <v>0</v>
      </c>
      <c r="Z1107">
        <f t="shared" si="199"/>
        <v>0</v>
      </c>
      <c r="AA1107" t="str">
        <f>INDEX('Priority activities'!$D$5:$D$86,MATCH('Database for analysis'!C1107,'Priority activities'!$C$5:$C$86,0))</f>
        <v>FP governance structure and program coordination</v>
      </c>
    </row>
    <row r="1108" spans="2:27" ht="16.5" thickTop="1" thickBot="1" x14ac:dyDescent="0.3">
      <c r="B1108" t="s">
        <v>727</v>
      </c>
      <c r="C1108" s="22" t="str">
        <f>'Costing inputs'!$C$507</f>
        <v>Approve provincial objectives (SMC1.3)</v>
      </c>
      <c r="D1108" s="22" t="str">
        <f>'Costing inputs'!$U$507</f>
        <v>Evenly by province/region</v>
      </c>
      <c r="E1108" s="22" t="str">
        <f>'Regional splits'!$D$14</f>
        <v>Copperbelt</v>
      </c>
      <c r="F1108">
        <v>0</v>
      </c>
      <c r="G1108">
        <v>8673.2991999999995</v>
      </c>
      <c r="H1108">
        <v>0</v>
      </c>
      <c r="I1108">
        <v>0</v>
      </c>
      <c r="J1108">
        <v>8673.2991999999995</v>
      </c>
      <c r="K1108">
        <v>0</v>
      </c>
      <c r="L1108">
        <v>0</v>
      </c>
      <c r="M1108">
        <v>0</v>
      </c>
      <c r="N1108">
        <v>0</v>
      </c>
      <c r="O1108">
        <v>0</v>
      </c>
      <c r="P1108" s="5">
        <f t="shared" si="189"/>
        <v>17346.598399999999</v>
      </c>
      <c r="Q1108">
        <f t="shared" si="190"/>
        <v>0</v>
      </c>
      <c r="R1108">
        <f t="shared" si="191"/>
        <v>8673.2991999999995</v>
      </c>
      <c r="S1108">
        <f t="shared" si="192"/>
        <v>0</v>
      </c>
      <c r="T1108">
        <f t="shared" si="193"/>
        <v>0</v>
      </c>
      <c r="U1108">
        <f t="shared" si="194"/>
        <v>8673.2991999999995</v>
      </c>
      <c r="V1108">
        <f t="shared" si="195"/>
        <v>0</v>
      </c>
      <c r="W1108">
        <f t="shared" si="196"/>
        <v>0</v>
      </c>
      <c r="X1108">
        <f t="shared" si="197"/>
        <v>0</v>
      </c>
      <c r="Y1108">
        <f t="shared" si="198"/>
        <v>0</v>
      </c>
      <c r="Z1108">
        <f t="shared" si="199"/>
        <v>0</v>
      </c>
      <c r="AA1108" t="str">
        <f>INDEX('Priority activities'!$D$5:$D$86,MATCH('Database for analysis'!C1108,'Priority activities'!$C$5:$C$86,0))</f>
        <v>FP governance structure and program coordination</v>
      </c>
    </row>
    <row r="1109" spans="2:27" ht="16.5" thickTop="1" thickBot="1" x14ac:dyDescent="0.3">
      <c r="B1109" t="s">
        <v>727</v>
      </c>
      <c r="C1109" s="22" t="str">
        <f>'Costing inputs'!$C$507</f>
        <v>Approve provincial objectives (SMC1.3)</v>
      </c>
      <c r="D1109" s="22" t="str">
        <f>'Costing inputs'!$U$507</f>
        <v>Evenly by province/region</v>
      </c>
      <c r="E1109" s="22" t="str">
        <f>'Regional splits'!$E$14</f>
        <v>Eastern</v>
      </c>
      <c r="F1109">
        <v>0</v>
      </c>
      <c r="G1109">
        <v>8673.2991999999995</v>
      </c>
      <c r="H1109">
        <v>0</v>
      </c>
      <c r="I1109">
        <v>0</v>
      </c>
      <c r="J1109">
        <v>8673.2991999999995</v>
      </c>
      <c r="K1109">
        <v>0</v>
      </c>
      <c r="L1109">
        <v>0</v>
      </c>
      <c r="M1109">
        <v>0</v>
      </c>
      <c r="N1109">
        <v>0</v>
      </c>
      <c r="O1109">
        <v>0</v>
      </c>
      <c r="P1109" s="5">
        <f t="shared" si="189"/>
        <v>17346.598399999999</v>
      </c>
      <c r="Q1109">
        <f t="shared" si="190"/>
        <v>0</v>
      </c>
      <c r="R1109">
        <f t="shared" si="191"/>
        <v>8673.2991999999995</v>
      </c>
      <c r="S1109">
        <f t="shared" si="192"/>
        <v>0</v>
      </c>
      <c r="T1109">
        <f t="shared" si="193"/>
        <v>0</v>
      </c>
      <c r="U1109">
        <f t="shared" si="194"/>
        <v>8673.2991999999995</v>
      </c>
      <c r="V1109">
        <f t="shared" si="195"/>
        <v>0</v>
      </c>
      <c r="W1109">
        <f t="shared" si="196"/>
        <v>0</v>
      </c>
      <c r="X1109">
        <f t="shared" si="197"/>
        <v>0</v>
      </c>
      <c r="Y1109">
        <f t="shared" si="198"/>
        <v>0</v>
      </c>
      <c r="Z1109">
        <f t="shared" si="199"/>
        <v>0</v>
      </c>
      <c r="AA1109" t="str">
        <f>INDEX('Priority activities'!$D$5:$D$86,MATCH('Database for analysis'!C1109,'Priority activities'!$C$5:$C$86,0))</f>
        <v>FP governance structure and program coordination</v>
      </c>
    </row>
    <row r="1110" spans="2:27" ht="16.5" thickTop="1" thickBot="1" x14ac:dyDescent="0.3">
      <c r="B1110" t="s">
        <v>727</v>
      </c>
      <c r="C1110" s="22" t="str">
        <f>'Costing inputs'!$C$507</f>
        <v>Approve provincial objectives (SMC1.3)</v>
      </c>
      <c r="D1110" s="22" t="str">
        <f>'Costing inputs'!$U$507</f>
        <v>Evenly by province/region</v>
      </c>
      <c r="E1110" s="22" t="str">
        <f>'Regional splits'!$F$14</f>
        <v>Luapula</v>
      </c>
      <c r="F1110">
        <v>0</v>
      </c>
      <c r="G1110">
        <v>8673.2991999999995</v>
      </c>
      <c r="H1110">
        <v>0</v>
      </c>
      <c r="I1110">
        <v>0</v>
      </c>
      <c r="J1110">
        <v>8673.2991999999995</v>
      </c>
      <c r="K1110">
        <v>0</v>
      </c>
      <c r="L1110">
        <v>0</v>
      </c>
      <c r="M1110">
        <v>0</v>
      </c>
      <c r="N1110">
        <v>0</v>
      </c>
      <c r="O1110">
        <v>0</v>
      </c>
      <c r="P1110" s="5">
        <f t="shared" si="189"/>
        <v>17346.598399999999</v>
      </c>
      <c r="Q1110">
        <f t="shared" si="190"/>
        <v>0</v>
      </c>
      <c r="R1110">
        <f t="shared" si="191"/>
        <v>8673.2991999999995</v>
      </c>
      <c r="S1110">
        <f t="shared" si="192"/>
        <v>0</v>
      </c>
      <c r="T1110">
        <f t="shared" si="193"/>
        <v>0</v>
      </c>
      <c r="U1110">
        <f t="shared" si="194"/>
        <v>8673.2991999999995</v>
      </c>
      <c r="V1110">
        <f t="shared" si="195"/>
        <v>0</v>
      </c>
      <c r="W1110">
        <f t="shared" si="196"/>
        <v>0</v>
      </c>
      <c r="X1110">
        <f t="shared" si="197"/>
        <v>0</v>
      </c>
      <c r="Y1110">
        <f t="shared" si="198"/>
        <v>0</v>
      </c>
      <c r="Z1110">
        <f t="shared" si="199"/>
        <v>0</v>
      </c>
      <c r="AA1110" t="str">
        <f>INDEX('Priority activities'!$D$5:$D$86,MATCH('Database for analysis'!C1110,'Priority activities'!$C$5:$C$86,0))</f>
        <v>FP governance structure and program coordination</v>
      </c>
    </row>
    <row r="1111" spans="2:27" ht="16.5" thickTop="1" thickBot="1" x14ac:dyDescent="0.3">
      <c r="B1111" t="s">
        <v>727</v>
      </c>
      <c r="C1111" s="22" t="str">
        <f>'Costing inputs'!$C$507</f>
        <v>Approve provincial objectives (SMC1.3)</v>
      </c>
      <c r="D1111" s="22" t="str">
        <f>'Costing inputs'!$U$507</f>
        <v>Evenly by province/region</v>
      </c>
      <c r="E1111" s="22" t="str">
        <f>'Regional splits'!$G$14</f>
        <v>Lusaka</v>
      </c>
      <c r="F1111">
        <v>0</v>
      </c>
      <c r="G1111">
        <v>8673.2991999999995</v>
      </c>
      <c r="H1111">
        <v>0</v>
      </c>
      <c r="I1111">
        <v>0</v>
      </c>
      <c r="J1111">
        <v>8673.2991999999995</v>
      </c>
      <c r="K1111">
        <v>0</v>
      </c>
      <c r="L1111">
        <v>0</v>
      </c>
      <c r="M1111">
        <v>0</v>
      </c>
      <c r="N1111">
        <v>0</v>
      </c>
      <c r="O1111">
        <v>0</v>
      </c>
      <c r="P1111" s="5">
        <f t="shared" si="189"/>
        <v>17346.598399999999</v>
      </c>
      <c r="Q1111">
        <f t="shared" si="190"/>
        <v>0</v>
      </c>
      <c r="R1111">
        <f t="shared" si="191"/>
        <v>8673.2991999999995</v>
      </c>
      <c r="S1111">
        <f t="shared" si="192"/>
        <v>0</v>
      </c>
      <c r="T1111">
        <f t="shared" si="193"/>
        <v>0</v>
      </c>
      <c r="U1111">
        <f t="shared" si="194"/>
        <v>8673.2991999999995</v>
      </c>
      <c r="V1111">
        <f t="shared" si="195"/>
        <v>0</v>
      </c>
      <c r="W1111">
        <f t="shared" si="196"/>
        <v>0</v>
      </c>
      <c r="X1111">
        <f t="shared" si="197"/>
        <v>0</v>
      </c>
      <c r="Y1111">
        <f t="shared" si="198"/>
        <v>0</v>
      </c>
      <c r="Z1111">
        <f t="shared" si="199"/>
        <v>0</v>
      </c>
      <c r="AA1111" t="str">
        <f>INDEX('Priority activities'!$D$5:$D$86,MATCH('Database for analysis'!C1111,'Priority activities'!$C$5:$C$86,0))</f>
        <v>FP governance structure and program coordination</v>
      </c>
    </row>
    <row r="1112" spans="2:27" ht="16.5" thickTop="1" thickBot="1" x14ac:dyDescent="0.3">
      <c r="B1112" t="s">
        <v>727</v>
      </c>
      <c r="C1112" s="22" t="str">
        <f>'Costing inputs'!$C$507</f>
        <v>Approve provincial objectives (SMC1.3)</v>
      </c>
      <c r="D1112" s="22" t="str">
        <f>'Costing inputs'!$U$507</f>
        <v>Evenly by province/region</v>
      </c>
      <c r="E1112" s="22" t="str">
        <f>'Regional splits'!$H$14</f>
        <v>Muchinga</v>
      </c>
      <c r="F1112">
        <v>0</v>
      </c>
      <c r="G1112">
        <v>8673.2991999999995</v>
      </c>
      <c r="H1112">
        <v>0</v>
      </c>
      <c r="I1112">
        <v>0</v>
      </c>
      <c r="J1112">
        <v>8673.2991999999995</v>
      </c>
      <c r="K1112">
        <v>0</v>
      </c>
      <c r="L1112">
        <v>0</v>
      </c>
      <c r="M1112">
        <v>0</v>
      </c>
      <c r="N1112">
        <v>0</v>
      </c>
      <c r="O1112">
        <v>0</v>
      </c>
      <c r="P1112" s="5">
        <f t="shared" si="189"/>
        <v>17346.598399999999</v>
      </c>
      <c r="Q1112">
        <f t="shared" si="190"/>
        <v>0</v>
      </c>
      <c r="R1112">
        <f t="shared" si="191"/>
        <v>8673.2991999999995</v>
      </c>
      <c r="S1112">
        <f t="shared" si="192"/>
        <v>0</v>
      </c>
      <c r="T1112">
        <f t="shared" si="193"/>
        <v>0</v>
      </c>
      <c r="U1112">
        <f t="shared" si="194"/>
        <v>8673.2991999999995</v>
      </c>
      <c r="V1112">
        <f t="shared" si="195"/>
        <v>0</v>
      </c>
      <c r="W1112">
        <f t="shared" si="196"/>
        <v>0</v>
      </c>
      <c r="X1112">
        <f t="shared" si="197"/>
        <v>0</v>
      </c>
      <c r="Y1112">
        <f t="shared" si="198"/>
        <v>0</v>
      </c>
      <c r="Z1112">
        <f t="shared" si="199"/>
        <v>0</v>
      </c>
      <c r="AA1112" t="str">
        <f>INDEX('Priority activities'!$D$5:$D$86,MATCH('Database for analysis'!C1112,'Priority activities'!$C$5:$C$86,0))</f>
        <v>FP governance structure and program coordination</v>
      </c>
    </row>
    <row r="1113" spans="2:27" ht="16.5" thickTop="1" thickBot="1" x14ac:dyDescent="0.3">
      <c r="B1113" t="s">
        <v>727</v>
      </c>
      <c r="C1113" s="22" t="str">
        <f>'Costing inputs'!$C$507</f>
        <v>Approve provincial objectives (SMC1.3)</v>
      </c>
      <c r="D1113" s="22" t="str">
        <f>'Costing inputs'!$U$507</f>
        <v>Evenly by province/region</v>
      </c>
      <c r="E1113" s="22" t="str">
        <f>'Regional splits'!$I$14</f>
        <v>Northern</v>
      </c>
      <c r="F1113">
        <v>0</v>
      </c>
      <c r="G1113">
        <v>8673.2991999999995</v>
      </c>
      <c r="H1113">
        <v>0</v>
      </c>
      <c r="I1113">
        <v>0</v>
      </c>
      <c r="J1113">
        <v>8673.2991999999995</v>
      </c>
      <c r="K1113">
        <v>0</v>
      </c>
      <c r="L1113">
        <v>0</v>
      </c>
      <c r="M1113">
        <v>0</v>
      </c>
      <c r="N1113">
        <v>0</v>
      </c>
      <c r="O1113">
        <v>0</v>
      </c>
      <c r="P1113" s="5">
        <f t="shared" si="189"/>
        <v>17346.598399999999</v>
      </c>
      <c r="Q1113">
        <f t="shared" si="190"/>
        <v>0</v>
      </c>
      <c r="R1113">
        <f t="shared" si="191"/>
        <v>8673.2991999999995</v>
      </c>
      <c r="S1113">
        <f t="shared" si="192"/>
        <v>0</v>
      </c>
      <c r="T1113">
        <f t="shared" si="193"/>
        <v>0</v>
      </c>
      <c r="U1113">
        <f t="shared" si="194"/>
        <v>8673.2991999999995</v>
      </c>
      <c r="V1113">
        <f t="shared" si="195"/>
        <v>0</v>
      </c>
      <c r="W1113">
        <f t="shared" si="196"/>
        <v>0</v>
      </c>
      <c r="X1113">
        <f t="shared" si="197"/>
        <v>0</v>
      </c>
      <c r="Y1113">
        <f t="shared" si="198"/>
        <v>0</v>
      </c>
      <c r="Z1113">
        <f t="shared" si="199"/>
        <v>0</v>
      </c>
      <c r="AA1113" t="str">
        <f>INDEX('Priority activities'!$D$5:$D$86,MATCH('Database for analysis'!C1113,'Priority activities'!$C$5:$C$86,0))</f>
        <v>FP governance structure and program coordination</v>
      </c>
    </row>
    <row r="1114" spans="2:27" ht="16.5" thickTop="1" thickBot="1" x14ac:dyDescent="0.3">
      <c r="B1114" t="s">
        <v>727</v>
      </c>
      <c r="C1114" s="22" t="str">
        <f>'Costing inputs'!$C$507</f>
        <v>Approve provincial objectives (SMC1.3)</v>
      </c>
      <c r="D1114" s="22" t="str">
        <f>'Costing inputs'!$U$507</f>
        <v>Evenly by province/region</v>
      </c>
      <c r="E1114" s="22" t="str">
        <f>'Regional splits'!$J$14</f>
        <v>North Western</v>
      </c>
      <c r="F1114">
        <v>0</v>
      </c>
      <c r="G1114">
        <v>8673.2991999999995</v>
      </c>
      <c r="H1114">
        <v>0</v>
      </c>
      <c r="I1114">
        <v>0</v>
      </c>
      <c r="J1114">
        <v>8673.2991999999995</v>
      </c>
      <c r="K1114">
        <v>0</v>
      </c>
      <c r="L1114">
        <v>0</v>
      </c>
      <c r="M1114">
        <v>0</v>
      </c>
      <c r="N1114">
        <v>0</v>
      </c>
      <c r="O1114">
        <v>0</v>
      </c>
      <c r="P1114" s="5">
        <f t="shared" si="189"/>
        <v>17346.598399999999</v>
      </c>
      <c r="Q1114">
        <f t="shared" si="190"/>
        <v>0</v>
      </c>
      <c r="R1114">
        <f t="shared" si="191"/>
        <v>8673.2991999999995</v>
      </c>
      <c r="S1114">
        <f t="shared" si="192"/>
        <v>0</v>
      </c>
      <c r="T1114">
        <f t="shared" si="193"/>
        <v>0</v>
      </c>
      <c r="U1114">
        <f t="shared" si="194"/>
        <v>8673.2991999999995</v>
      </c>
      <c r="V1114">
        <f t="shared" si="195"/>
        <v>0</v>
      </c>
      <c r="W1114">
        <f t="shared" si="196"/>
        <v>0</v>
      </c>
      <c r="X1114">
        <f t="shared" si="197"/>
        <v>0</v>
      </c>
      <c r="Y1114">
        <f t="shared" si="198"/>
        <v>0</v>
      </c>
      <c r="Z1114">
        <f t="shared" si="199"/>
        <v>0</v>
      </c>
      <c r="AA1114" t="str">
        <f>INDEX('Priority activities'!$D$5:$D$86,MATCH('Database for analysis'!C1114,'Priority activities'!$C$5:$C$86,0))</f>
        <v>FP governance structure and program coordination</v>
      </c>
    </row>
    <row r="1115" spans="2:27" ht="16.5" thickTop="1" thickBot="1" x14ac:dyDescent="0.3">
      <c r="B1115" t="s">
        <v>727</v>
      </c>
      <c r="C1115" s="22" t="str">
        <f>'Costing inputs'!$C$507</f>
        <v>Approve provincial objectives (SMC1.3)</v>
      </c>
      <c r="D1115" s="22" t="str">
        <f>'Costing inputs'!$U$507</f>
        <v>Evenly by province/region</v>
      </c>
      <c r="E1115" s="22" t="str">
        <f>'Regional splits'!$K$14</f>
        <v>Southern</v>
      </c>
      <c r="F1115">
        <v>0</v>
      </c>
      <c r="G1115">
        <v>8673.2991999999995</v>
      </c>
      <c r="H1115">
        <v>0</v>
      </c>
      <c r="I1115">
        <v>0</v>
      </c>
      <c r="J1115">
        <v>8673.2991999999995</v>
      </c>
      <c r="K1115">
        <v>0</v>
      </c>
      <c r="L1115">
        <v>0</v>
      </c>
      <c r="M1115">
        <v>0</v>
      </c>
      <c r="N1115">
        <v>0</v>
      </c>
      <c r="O1115">
        <v>0</v>
      </c>
      <c r="P1115" s="5">
        <f t="shared" si="189"/>
        <v>17346.598399999999</v>
      </c>
      <c r="Q1115">
        <f t="shared" si="190"/>
        <v>0</v>
      </c>
      <c r="R1115">
        <f t="shared" si="191"/>
        <v>8673.2991999999995</v>
      </c>
      <c r="S1115">
        <f t="shared" si="192"/>
        <v>0</v>
      </c>
      <c r="T1115">
        <f t="shared" si="193"/>
        <v>0</v>
      </c>
      <c r="U1115">
        <f t="shared" si="194"/>
        <v>8673.2991999999995</v>
      </c>
      <c r="V1115">
        <f t="shared" si="195"/>
        <v>0</v>
      </c>
      <c r="W1115">
        <f t="shared" si="196"/>
        <v>0</v>
      </c>
      <c r="X1115">
        <f t="shared" si="197"/>
        <v>0</v>
      </c>
      <c r="Y1115">
        <f t="shared" si="198"/>
        <v>0</v>
      </c>
      <c r="Z1115">
        <f t="shared" si="199"/>
        <v>0</v>
      </c>
      <c r="AA1115" t="str">
        <f>INDEX('Priority activities'!$D$5:$D$86,MATCH('Database for analysis'!C1115,'Priority activities'!$C$5:$C$86,0))</f>
        <v>FP governance structure and program coordination</v>
      </c>
    </row>
    <row r="1116" spans="2:27" ht="16.5" thickTop="1" thickBot="1" x14ac:dyDescent="0.3">
      <c r="B1116" t="s">
        <v>727</v>
      </c>
      <c r="C1116" s="22" t="str">
        <f>'Costing inputs'!$C$507</f>
        <v>Approve provincial objectives (SMC1.3)</v>
      </c>
      <c r="D1116" s="22" t="str">
        <f>'Costing inputs'!$U$507</f>
        <v>Evenly by province/region</v>
      </c>
      <c r="E1116" s="22" t="str">
        <f>'Regional splits'!$L$14</f>
        <v>Western</v>
      </c>
      <c r="F1116">
        <v>0</v>
      </c>
      <c r="G1116">
        <v>8673.2991999999995</v>
      </c>
      <c r="H1116">
        <v>0</v>
      </c>
      <c r="I1116">
        <v>0</v>
      </c>
      <c r="J1116">
        <v>8673.2991999999995</v>
      </c>
      <c r="K1116">
        <v>0</v>
      </c>
      <c r="L1116">
        <v>0</v>
      </c>
      <c r="M1116">
        <v>0</v>
      </c>
      <c r="N1116">
        <v>0</v>
      </c>
      <c r="O1116">
        <v>0</v>
      </c>
      <c r="P1116" s="5">
        <f t="shared" si="189"/>
        <v>17346.598399999999</v>
      </c>
      <c r="Q1116">
        <f t="shared" si="190"/>
        <v>0</v>
      </c>
      <c r="R1116">
        <f t="shared" si="191"/>
        <v>8673.2991999999995</v>
      </c>
      <c r="S1116">
        <f t="shared" si="192"/>
        <v>0</v>
      </c>
      <c r="T1116">
        <f t="shared" si="193"/>
        <v>0</v>
      </c>
      <c r="U1116">
        <f t="shared" si="194"/>
        <v>8673.2991999999995</v>
      </c>
      <c r="V1116">
        <f t="shared" si="195"/>
        <v>0</v>
      </c>
      <c r="W1116">
        <f t="shared" si="196"/>
        <v>0</v>
      </c>
      <c r="X1116">
        <f t="shared" si="197"/>
        <v>0</v>
      </c>
      <c r="Y1116">
        <f t="shared" si="198"/>
        <v>0</v>
      </c>
      <c r="Z1116">
        <f t="shared" si="199"/>
        <v>0</v>
      </c>
      <c r="AA1116" t="str">
        <f>INDEX('Priority activities'!$D$5:$D$86,MATCH('Database for analysis'!C1116,'Priority activities'!$C$5:$C$86,0))</f>
        <v>FP governance structure and program coordination</v>
      </c>
    </row>
    <row r="1117" spans="2:27" ht="16.5" thickTop="1" thickBot="1" x14ac:dyDescent="0.3">
      <c r="B1117" t="s">
        <v>727</v>
      </c>
      <c r="C1117" s="22" t="str">
        <f>'Costing inputs'!$C$507</f>
        <v>Approve provincial objectives (SMC1.3)</v>
      </c>
      <c r="D1117" s="22" t="str">
        <f>'Costing inputs'!$U$507</f>
        <v>Evenly by province/region</v>
      </c>
      <c r="E1117" s="22">
        <f>'Regional splits'!$M$14</f>
        <v>0</v>
      </c>
      <c r="F1117">
        <v>0</v>
      </c>
      <c r="G1117">
        <v>0</v>
      </c>
      <c r="H1117">
        <v>0</v>
      </c>
      <c r="I1117">
        <v>0</v>
      </c>
      <c r="J1117">
        <v>0</v>
      </c>
      <c r="K1117">
        <v>0</v>
      </c>
      <c r="L1117">
        <v>0</v>
      </c>
      <c r="M1117">
        <v>0</v>
      </c>
      <c r="N1117">
        <v>0</v>
      </c>
      <c r="O1117">
        <v>0</v>
      </c>
      <c r="P1117" s="5">
        <f t="shared" si="189"/>
        <v>0</v>
      </c>
      <c r="Q1117">
        <f t="shared" si="190"/>
        <v>0</v>
      </c>
      <c r="R1117">
        <f t="shared" si="191"/>
        <v>0</v>
      </c>
      <c r="S1117">
        <f t="shared" si="192"/>
        <v>0</v>
      </c>
      <c r="T1117">
        <f t="shared" si="193"/>
        <v>0</v>
      </c>
      <c r="U1117">
        <f t="shared" si="194"/>
        <v>0</v>
      </c>
      <c r="V1117">
        <f t="shared" si="195"/>
        <v>0</v>
      </c>
      <c r="W1117">
        <f t="shared" si="196"/>
        <v>0</v>
      </c>
      <c r="X1117">
        <f t="shared" si="197"/>
        <v>0</v>
      </c>
      <c r="Y1117">
        <f t="shared" si="198"/>
        <v>0</v>
      </c>
      <c r="Z1117">
        <f t="shared" si="199"/>
        <v>0</v>
      </c>
      <c r="AA1117" t="str">
        <f>INDEX('Priority activities'!$D$5:$D$86,MATCH('Database for analysis'!C1117,'Priority activities'!$C$5:$C$86,0))</f>
        <v>FP governance structure and program coordination</v>
      </c>
    </row>
    <row r="1118" spans="2:27" ht="16.5" thickTop="1" thickBot="1" x14ac:dyDescent="0.3">
      <c r="B1118" t="s">
        <v>727</v>
      </c>
      <c r="C1118" s="22" t="str">
        <f>'Costing inputs'!$C$507</f>
        <v>Approve provincial objectives (SMC1.3)</v>
      </c>
      <c r="D1118" s="22" t="str">
        <f>'Costing inputs'!$U$507</f>
        <v>Evenly by province/region</v>
      </c>
      <c r="E1118" s="22">
        <f>'Regional splits'!$N$14</f>
        <v>0</v>
      </c>
      <c r="F1118">
        <v>0</v>
      </c>
      <c r="G1118">
        <v>0</v>
      </c>
      <c r="H1118">
        <v>0</v>
      </c>
      <c r="I1118">
        <v>0</v>
      </c>
      <c r="J1118">
        <v>0</v>
      </c>
      <c r="K1118">
        <v>0</v>
      </c>
      <c r="L1118">
        <v>0</v>
      </c>
      <c r="M1118">
        <v>0</v>
      </c>
      <c r="N1118">
        <v>0</v>
      </c>
      <c r="O1118">
        <v>0</v>
      </c>
      <c r="P1118" s="5">
        <f t="shared" si="189"/>
        <v>0</v>
      </c>
      <c r="Q1118">
        <f t="shared" si="190"/>
        <v>0</v>
      </c>
      <c r="R1118">
        <f t="shared" si="191"/>
        <v>0</v>
      </c>
      <c r="S1118">
        <f t="shared" si="192"/>
        <v>0</v>
      </c>
      <c r="T1118">
        <f t="shared" si="193"/>
        <v>0</v>
      </c>
      <c r="U1118">
        <f t="shared" si="194"/>
        <v>0</v>
      </c>
      <c r="V1118">
        <f t="shared" si="195"/>
        <v>0</v>
      </c>
      <c r="W1118">
        <f t="shared" si="196"/>
        <v>0</v>
      </c>
      <c r="X1118">
        <f t="shared" si="197"/>
        <v>0</v>
      </c>
      <c r="Y1118">
        <f t="shared" si="198"/>
        <v>0</v>
      </c>
      <c r="Z1118">
        <f t="shared" si="199"/>
        <v>0</v>
      </c>
      <c r="AA1118" t="str">
        <f>INDEX('Priority activities'!$D$5:$D$86,MATCH('Database for analysis'!C1118,'Priority activities'!$C$5:$C$86,0))</f>
        <v>FP governance structure and program coordination</v>
      </c>
    </row>
    <row r="1119" spans="2:27" ht="16.5" thickTop="1" thickBot="1" x14ac:dyDescent="0.3">
      <c r="B1119" t="s">
        <v>727</v>
      </c>
      <c r="C1119" s="22" t="str">
        <f>'Costing inputs'!$C$507</f>
        <v>Approve provincial objectives (SMC1.3)</v>
      </c>
      <c r="D1119" s="22" t="str">
        <f>'Costing inputs'!$U$507</f>
        <v>Evenly by province/region</v>
      </c>
      <c r="E1119" s="22">
        <f>'Regional splits'!$O$14</f>
        <v>0</v>
      </c>
      <c r="F1119">
        <v>0</v>
      </c>
      <c r="G1119">
        <v>0</v>
      </c>
      <c r="H1119">
        <v>0</v>
      </c>
      <c r="I1119">
        <v>0</v>
      </c>
      <c r="J1119">
        <v>0</v>
      </c>
      <c r="K1119">
        <v>0</v>
      </c>
      <c r="L1119">
        <v>0</v>
      </c>
      <c r="M1119">
        <v>0</v>
      </c>
      <c r="N1119">
        <v>0</v>
      </c>
      <c r="O1119">
        <v>0</v>
      </c>
      <c r="P1119" s="5">
        <f t="shared" si="189"/>
        <v>0</v>
      </c>
      <c r="Q1119">
        <f t="shared" si="190"/>
        <v>0</v>
      </c>
      <c r="R1119">
        <f t="shared" si="191"/>
        <v>0</v>
      </c>
      <c r="S1119">
        <f t="shared" si="192"/>
        <v>0</v>
      </c>
      <c r="T1119">
        <f t="shared" si="193"/>
        <v>0</v>
      </c>
      <c r="U1119">
        <f t="shared" si="194"/>
        <v>0</v>
      </c>
      <c r="V1119">
        <f t="shared" si="195"/>
        <v>0</v>
      </c>
      <c r="W1119">
        <f t="shared" si="196"/>
        <v>0</v>
      </c>
      <c r="X1119">
        <f t="shared" si="197"/>
        <v>0</v>
      </c>
      <c r="Y1119">
        <f t="shared" si="198"/>
        <v>0</v>
      </c>
      <c r="Z1119">
        <f t="shared" si="199"/>
        <v>0</v>
      </c>
      <c r="AA1119" t="str">
        <f>INDEX('Priority activities'!$D$5:$D$86,MATCH('Database for analysis'!C1119,'Priority activities'!$C$5:$C$86,0))</f>
        <v>FP governance structure and program coordination</v>
      </c>
    </row>
    <row r="1120" spans="2:27" ht="16.5" thickTop="1" thickBot="1" x14ac:dyDescent="0.3">
      <c r="B1120" t="s">
        <v>727</v>
      </c>
      <c r="C1120" s="22" t="str">
        <f>'Costing inputs'!$C$507</f>
        <v>Approve provincial objectives (SMC1.3)</v>
      </c>
      <c r="D1120" s="22" t="str">
        <f>'Costing inputs'!$U$507</f>
        <v>Evenly by province/region</v>
      </c>
      <c r="E1120" s="22">
        <f>'Regional splits'!$P$14</f>
        <v>0</v>
      </c>
      <c r="F1120">
        <v>0</v>
      </c>
      <c r="G1120">
        <v>0</v>
      </c>
      <c r="H1120">
        <v>0</v>
      </c>
      <c r="I1120">
        <v>0</v>
      </c>
      <c r="J1120">
        <v>0</v>
      </c>
      <c r="K1120">
        <v>0</v>
      </c>
      <c r="L1120">
        <v>0</v>
      </c>
      <c r="M1120">
        <v>0</v>
      </c>
      <c r="N1120">
        <v>0</v>
      </c>
      <c r="O1120">
        <v>0</v>
      </c>
      <c r="P1120" s="5">
        <f t="shared" si="189"/>
        <v>0</v>
      </c>
      <c r="Q1120">
        <f t="shared" si="190"/>
        <v>0</v>
      </c>
      <c r="R1120">
        <f t="shared" si="191"/>
        <v>0</v>
      </c>
      <c r="S1120">
        <f t="shared" si="192"/>
        <v>0</v>
      </c>
      <c r="T1120">
        <f t="shared" si="193"/>
        <v>0</v>
      </c>
      <c r="U1120">
        <f t="shared" si="194"/>
        <v>0</v>
      </c>
      <c r="V1120">
        <f t="shared" si="195"/>
        <v>0</v>
      </c>
      <c r="W1120">
        <f t="shared" si="196"/>
        <v>0</v>
      </c>
      <c r="X1120">
        <f t="shared" si="197"/>
        <v>0</v>
      </c>
      <c r="Y1120">
        <f t="shared" si="198"/>
        <v>0</v>
      </c>
      <c r="Z1120">
        <f t="shared" si="199"/>
        <v>0</v>
      </c>
      <c r="AA1120" t="str">
        <f>INDEX('Priority activities'!$D$5:$D$86,MATCH('Database for analysis'!C1120,'Priority activities'!$C$5:$C$86,0))</f>
        <v>FP governance structure and program coordination</v>
      </c>
    </row>
    <row r="1121" spans="2:27" ht="16.5" thickTop="1" thickBot="1" x14ac:dyDescent="0.3">
      <c r="B1121" t="s">
        <v>727</v>
      </c>
      <c r="C1121" s="22" t="str">
        <f>'Costing inputs'!$C$507</f>
        <v>Approve provincial objectives (SMC1.3)</v>
      </c>
      <c r="D1121" s="22" t="str">
        <f>'Costing inputs'!$U$507</f>
        <v>Evenly by province/region</v>
      </c>
      <c r="E1121" s="22">
        <f>'Regional splits'!$Q$14</f>
        <v>0</v>
      </c>
      <c r="F1121">
        <v>0</v>
      </c>
      <c r="G1121">
        <v>0</v>
      </c>
      <c r="H1121">
        <v>0</v>
      </c>
      <c r="I1121">
        <v>0</v>
      </c>
      <c r="J1121">
        <v>0</v>
      </c>
      <c r="K1121">
        <v>0</v>
      </c>
      <c r="L1121">
        <v>0</v>
      </c>
      <c r="M1121">
        <v>0</v>
      </c>
      <c r="N1121">
        <v>0</v>
      </c>
      <c r="O1121">
        <v>0</v>
      </c>
      <c r="P1121" s="5">
        <f t="shared" si="189"/>
        <v>0</v>
      </c>
      <c r="Q1121">
        <f t="shared" si="190"/>
        <v>0</v>
      </c>
      <c r="R1121">
        <f t="shared" si="191"/>
        <v>0</v>
      </c>
      <c r="S1121">
        <f t="shared" si="192"/>
        <v>0</v>
      </c>
      <c r="T1121">
        <f t="shared" si="193"/>
        <v>0</v>
      </c>
      <c r="U1121">
        <f t="shared" si="194"/>
        <v>0</v>
      </c>
      <c r="V1121">
        <f t="shared" si="195"/>
        <v>0</v>
      </c>
      <c r="W1121">
        <f t="shared" si="196"/>
        <v>0</v>
      </c>
      <c r="X1121">
        <f t="shared" si="197"/>
        <v>0</v>
      </c>
      <c r="Y1121">
        <f t="shared" si="198"/>
        <v>0</v>
      </c>
      <c r="Z1121">
        <f t="shared" si="199"/>
        <v>0</v>
      </c>
      <c r="AA1121" t="str">
        <f>INDEX('Priority activities'!$D$5:$D$86,MATCH('Database for analysis'!C1121,'Priority activities'!$C$5:$C$86,0))</f>
        <v>FP governance structure and program coordination</v>
      </c>
    </row>
    <row r="1122" spans="2:27" ht="16.5" thickTop="1" thickBot="1" x14ac:dyDescent="0.3">
      <c r="B1122" t="s">
        <v>727</v>
      </c>
      <c r="C1122" s="22" t="str">
        <f>'Costing inputs'!$C$507</f>
        <v>Approve provincial objectives (SMC1.3)</v>
      </c>
      <c r="D1122" s="22" t="str">
        <f>'Costing inputs'!$U$507</f>
        <v>Evenly by province/region</v>
      </c>
      <c r="E1122" s="22" t="str">
        <f>'Regional splits'!$R$14</f>
        <v>National-level</v>
      </c>
      <c r="F1122">
        <v>0</v>
      </c>
      <c r="G1122">
        <v>0</v>
      </c>
      <c r="H1122">
        <v>0</v>
      </c>
      <c r="I1122">
        <v>0</v>
      </c>
      <c r="J1122">
        <v>0</v>
      </c>
      <c r="K1122">
        <v>0</v>
      </c>
      <c r="L1122">
        <v>0</v>
      </c>
      <c r="M1122">
        <v>0</v>
      </c>
      <c r="N1122">
        <v>0</v>
      </c>
      <c r="O1122">
        <v>0</v>
      </c>
      <c r="P1122" s="5">
        <f t="shared" si="189"/>
        <v>0</v>
      </c>
      <c r="Q1122">
        <f t="shared" si="190"/>
        <v>0</v>
      </c>
      <c r="R1122">
        <f t="shared" si="191"/>
        <v>0</v>
      </c>
      <c r="S1122">
        <f t="shared" si="192"/>
        <v>0</v>
      </c>
      <c r="T1122">
        <f t="shared" si="193"/>
        <v>0</v>
      </c>
      <c r="U1122">
        <f t="shared" si="194"/>
        <v>0</v>
      </c>
      <c r="V1122">
        <f t="shared" si="195"/>
        <v>0</v>
      </c>
      <c r="W1122">
        <f t="shared" si="196"/>
        <v>0</v>
      </c>
      <c r="X1122">
        <f t="shared" si="197"/>
        <v>0</v>
      </c>
      <c r="Y1122">
        <f t="shared" si="198"/>
        <v>0</v>
      </c>
      <c r="Z1122">
        <f t="shared" si="199"/>
        <v>0</v>
      </c>
      <c r="AA1122" t="str">
        <f>INDEX('Priority activities'!$D$5:$D$86,MATCH('Database for analysis'!C1122,'Priority activities'!$C$5:$C$86,0))</f>
        <v>FP governance structure and program coordination</v>
      </c>
    </row>
    <row r="1123" spans="2:27" ht="16.5" thickTop="1" thickBot="1" x14ac:dyDescent="0.3">
      <c r="B1123" t="s">
        <v>727</v>
      </c>
      <c r="C1123" s="22" t="str">
        <f>'Costing inputs'!$C$511</f>
        <v>Print FP plan and brochures (SMC1.3)</v>
      </c>
      <c r="D1123" s="22" t="str">
        <f>'Costing inputs'!$U$511</f>
        <v>Central level</v>
      </c>
      <c r="E1123" s="22" t="str">
        <f>'Regional splits'!$C$14</f>
        <v>Central</v>
      </c>
      <c r="F1123">
        <f t="array" ref="F1123:O1138">'Costing inputs'!S511*'Costing inputs'!AP511:AY511*TRANSPOSE('Costing inputs'!W511:AL511)</f>
        <v>0</v>
      </c>
      <c r="G1123">
        <v>0</v>
      </c>
      <c r="H1123">
        <v>0</v>
      </c>
      <c r="I1123">
        <v>0</v>
      </c>
      <c r="J1123">
        <v>0</v>
      </c>
      <c r="K1123">
        <v>0</v>
      </c>
      <c r="L1123">
        <v>0</v>
      </c>
      <c r="M1123">
        <v>0</v>
      </c>
      <c r="N1123">
        <v>0</v>
      </c>
      <c r="O1123">
        <v>0</v>
      </c>
      <c r="P1123" s="5">
        <f t="shared" ref="P1123:P1138" si="200">SUMIF(F1123:O1123,"&lt;&gt;#N/A")</f>
        <v>0</v>
      </c>
      <c r="Q1123">
        <f t="shared" si="190"/>
        <v>0</v>
      </c>
      <c r="R1123">
        <f t="shared" si="191"/>
        <v>0</v>
      </c>
      <c r="S1123">
        <f t="shared" si="192"/>
        <v>0</v>
      </c>
      <c r="T1123">
        <f t="shared" si="193"/>
        <v>0</v>
      </c>
      <c r="U1123">
        <f t="shared" si="194"/>
        <v>0</v>
      </c>
      <c r="V1123">
        <f t="shared" si="195"/>
        <v>0</v>
      </c>
      <c r="W1123">
        <f t="shared" si="196"/>
        <v>0</v>
      </c>
      <c r="X1123">
        <f t="shared" si="197"/>
        <v>0</v>
      </c>
      <c r="Y1123">
        <f t="shared" si="198"/>
        <v>0</v>
      </c>
      <c r="Z1123">
        <f t="shared" si="199"/>
        <v>0</v>
      </c>
      <c r="AA1123" t="str">
        <f>INDEX('Priority activities'!$D$5:$D$86,MATCH('Database for analysis'!C1123,'Priority activities'!$C$5:$C$86,0))</f>
        <v>FP governance structure and program coordination</v>
      </c>
    </row>
    <row r="1124" spans="2:27" ht="16.5" thickTop="1" thickBot="1" x14ac:dyDescent="0.3">
      <c r="B1124" t="s">
        <v>727</v>
      </c>
      <c r="C1124" s="22" t="str">
        <f>'Costing inputs'!$C$511</f>
        <v>Print FP plan and brochures (SMC1.3)</v>
      </c>
      <c r="D1124" s="22" t="str">
        <f>'Costing inputs'!$U$511</f>
        <v>Central level</v>
      </c>
      <c r="E1124" s="22" t="str">
        <f>'Regional splits'!$D$14</f>
        <v>Copperbelt</v>
      </c>
      <c r="F1124">
        <v>0</v>
      </c>
      <c r="G1124">
        <v>0</v>
      </c>
      <c r="H1124">
        <v>0</v>
      </c>
      <c r="I1124">
        <v>0</v>
      </c>
      <c r="J1124">
        <v>0</v>
      </c>
      <c r="K1124">
        <v>0</v>
      </c>
      <c r="L1124">
        <v>0</v>
      </c>
      <c r="M1124">
        <v>0</v>
      </c>
      <c r="N1124">
        <v>0</v>
      </c>
      <c r="O1124">
        <v>0</v>
      </c>
      <c r="P1124" s="5">
        <f t="shared" si="200"/>
        <v>0</v>
      </c>
      <c r="Q1124">
        <f t="shared" si="190"/>
        <v>0</v>
      </c>
      <c r="R1124">
        <f t="shared" si="191"/>
        <v>0</v>
      </c>
      <c r="S1124">
        <f t="shared" si="192"/>
        <v>0</v>
      </c>
      <c r="T1124">
        <f t="shared" si="193"/>
        <v>0</v>
      </c>
      <c r="U1124">
        <f t="shared" si="194"/>
        <v>0</v>
      </c>
      <c r="V1124">
        <f t="shared" si="195"/>
        <v>0</v>
      </c>
      <c r="W1124">
        <f t="shared" si="196"/>
        <v>0</v>
      </c>
      <c r="X1124">
        <f t="shared" si="197"/>
        <v>0</v>
      </c>
      <c r="Y1124">
        <f t="shared" si="198"/>
        <v>0</v>
      </c>
      <c r="Z1124">
        <f t="shared" si="199"/>
        <v>0</v>
      </c>
      <c r="AA1124" t="str">
        <f>INDEX('Priority activities'!$D$5:$D$86,MATCH('Database for analysis'!C1124,'Priority activities'!$C$5:$C$86,0))</f>
        <v>FP governance structure and program coordination</v>
      </c>
    </row>
    <row r="1125" spans="2:27" ht="16.5" thickTop="1" thickBot="1" x14ac:dyDescent="0.3">
      <c r="B1125" t="s">
        <v>727</v>
      </c>
      <c r="C1125" s="22" t="str">
        <f>'Costing inputs'!$C$511</f>
        <v>Print FP plan and brochures (SMC1.3)</v>
      </c>
      <c r="D1125" s="22" t="str">
        <f>'Costing inputs'!$U$511</f>
        <v>Central level</v>
      </c>
      <c r="E1125" s="22" t="str">
        <f>'Regional splits'!$E$14</f>
        <v>Eastern</v>
      </c>
      <c r="F1125">
        <v>0</v>
      </c>
      <c r="G1125">
        <v>0</v>
      </c>
      <c r="H1125">
        <v>0</v>
      </c>
      <c r="I1125">
        <v>0</v>
      </c>
      <c r="J1125">
        <v>0</v>
      </c>
      <c r="K1125">
        <v>0</v>
      </c>
      <c r="L1125">
        <v>0</v>
      </c>
      <c r="M1125">
        <v>0</v>
      </c>
      <c r="N1125">
        <v>0</v>
      </c>
      <c r="O1125">
        <v>0</v>
      </c>
      <c r="P1125" s="5">
        <f t="shared" si="200"/>
        <v>0</v>
      </c>
      <c r="Q1125">
        <f t="shared" si="190"/>
        <v>0</v>
      </c>
      <c r="R1125">
        <f t="shared" si="191"/>
        <v>0</v>
      </c>
      <c r="S1125">
        <f t="shared" si="192"/>
        <v>0</v>
      </c>
      <c r="T1125">
        <f t="shared" si="193"/>
        <v>0</v>
      </c>
      <c r="U1125">
        <f t="shared" si="194"/>
        <v>0</v>
      </c>
      <c r="V1125">
        <f t="shared" si="195"/>
        <v>0</v>
      </c>
      <c r="W1125">
        <f t="shared" si="196"/>
        <v>0</v>
      </c>
      <c r="X1125">
        <f t="shared" si="197"/>
        <v>0</v>
      </c>
      <c r="Y1125">
        <f t="shared" si="198"/>
        <v>0</v>
      </c>
      <c r="Z1125">
        <f t="shared" si="199"/>
        <v>0</v>
      </c>
      <c r="AA1125" t="str">
        <f>INDEX('Priority activities'!$D$5:$D$86,MATCH('Database for analysis'!C1125,'Priority activities'!$C$5:$C$86,0))</f>
        <v>FP governance structure and program coordination</v>
      </c>
    </row>
    <row r="1126" spans="2:27" ht="16.5" thickTop="1" thickBot="1" x14ac:dyDescent="0.3">
      <c r="B1126" t="s">
        <v>727</v>
      </c>
      <c r="C1126" s="22" t="str">
        <f>'Costing inputs'!$C$511</f>
        <v>Print FP plan and brochures (SMC1.3)</v>
      </c>
      <c r="D1126" s="22" t="str">
        <f>'Costing inputs'!$U$511</f>
        <v>Central level</v>
      </c>
      <c r="E1126" s="22" t="str">
        <f>'Regional splits'!$F$14</f>
        <v>Luapula</v>
      </c>
      <c r="F1126">
        <v>0</v>
      </c>
      <c r="G1126">
        <v>0</v>
      </c>
      <c r="H1126">
        <v>0</v>
      </c>
      <c r="I1126">
        <v>0</v>
      </c>
      <c r="J1126">
        <v>0</v>
      </c>
      <c r="K1126">
        <v>0</v>
      </c>
      <c r="L1126">
        <v>0</v>
      </c>
      <c r="M1126">
        <v>0</v>
      </c>
      <c r="N1126">
        <v>0</v>
      </c>
      <c r="O1126">
        <v>0</v>
      </c>
      <c r="P1126" s="5">
        <f t="shared" si="200"/>
        <v>0</v>
      </c>
      <c r="Q1126">
        <f t="shared" si="190"/>
        <v>0</v>
      </c>
      <c r="R1126">
        <f t="shared" si="191"/>
        <v>0</v>
      </c>
      <c r="S1126">
        <f t="shared" si="192"/>
        <v>0</v>
      </c>
      <c r="T1126">
        <f t="shared" si="193"/>
        <v>0</v>
      </c>
      <c r="U1126">
        <f t="shared" si="194"/>
        <v>0</v>
      </c>
      <c r="V1126">
        <f t="shared" si="195"/>
        <v>0</v>
      </c>
      <c r="W1126">
        <f t="shared" si="196"/>
        <v>0</v>
      </c>
      <c r="X1126">
        <f t="shared" si="197"/>
        <v>0</v>
      </c>
      <c r="Y1126">
        <f t="shared" si="198"/>
        <v>0</v>
      </c>
      <c r="Z1126">
        <f t="shared" si="199"/>
        <v>0</v>
      </c>
      <c r="AA1126" t="str">
        <f>INDEX('Priority activities'!$D$5:$D$86,MATCH('Database for analysis'!C1126,'Priority activities'!$C$5:$C$86,0))</f>
        <v>FP governance structure and program coordination</v>
      </c>
    </row>
    <row r="1127" spans="2:27" ht="16.5" thickTop="1" thickBot="1" x14ac:dyDescent="0.3">
      <c r="B1127" t="s">
        <v>727</v>
      </c>
      <c r="C1127" s="22" t="str">
        <f>'Costing inputs'!$C$511</f>
        <v>Print FP plan and brochures (SMC1.3)</v>
      </c>
      <c r="D1127" s="22" t="str">
        <f>'Costing inputs'!$U$511</f>
        <v>Central level</v>
      </c>
      <c r="E1127" s="22" t="str">
        <f>'Regional splits'!$G$14</f>
        <v>Lusaka</v>
      </c>
      <c r="F1127">
        <v>0</v>
      </c>
      <c r="G1127">
        <v>0</v>
      </c>
      <c r="H1127">
        <v>0</v>
      </c>
      <c r="I1127">
        <v>0</v>
      </c>
      <c r="J1127">
        <v>0</v>
      </c>
      <c r="K1127">
        <v>0</v>
      </c>
      <c r="L1127">
        <v>0</v>
      </c>
      <c r="M1127">
        <v>0</v>
      </c>
      <c r="N1127">
        <v>0</v>
      </c>
      <c r="O1127">
        <v>0</v>
      </c>
      <c r="P1127" s="5">
        <f t="shared" si="200"/>
        <v>0</v>
      </c>
      <c r="Q1127">
        <f t="shared" si="190"/>
        <v>0</v>
      </c>
      <c r="R1127">
        <f t="shared" si="191"/>
        <v>0</v>
      </c>
      <c r="S1127">
        <f t="shared" si="192"/>
        <v>0</v>
      </c>
      <c r="T1127">
        <f t="shared" si="193"/>
        <v>0</v>
      </c>
      <c r="U1127">
        <f t="shared" si="194"/>
        <v>0</v>
      </c>
      <c r="V1127">
        <f t="shared" si="195"/>
        <v>0</v>
      </c>
      <c r="W1127">
        <f t="shared" si="196"/>
        <v>0</v>
      </c>
      <c r="X1127">
        <f t="shared" si="197"/>
        <v>0</v>
      </c>
      <c r="Y1127">
        <f t="shared" si="198"/>
        <v>0</v>
      </c>
      <c r="Z1127">
        <f t="shared" si="199"/>
        <v>0</v>
      </c>
      <c r="AA1127" t="str">
        <f>INDEX('Priority activities'!$D$5:$D$86,MATCH('Database for analysis'!C1127,'Priority activities'!$C$5:$C$86,0))</f>
        <v>FP governance structure and program coordination</v>
      </c>
    </row>
    <row r="1128" spans="2:27" ht="16.5" thickTop="1" thickBot="1" x14ac:dyDescent="0.3">
      <c r="B1128" t="s">
        <v>727</v>
      </c>
      <c r="C1128" s="22" t="str">
        <f>'Costing inputs'!$C$511</f>
        <v>Print FP plan and brochures (SMC1.3)</v>
      </c>
      <c r="D1128" s="22" t="str">
        <f>'Costing inputs'!$U$511</f>
        <v>Central level</v>
      </c>
      <c r="E1128" s="22" t="str">
        <f>'Regional splits'!$H$14</f>
        <v>Muchinga</v>
      </c>
      <c r="F1128">
        <v>0</v>
      </c>
      <c r="G1128">
        <v>0</v>
      </c>
      <c r="H1128">
        <v>0</v>
      </c>
      <c r="I1128">
        <v>0</v>
      </c>
      <c r="J1128">
        <v>0</v>
      </c>
      <c r="K1128">
        <v>0</v>
      </c>
      <c r="L1128">
        <v>0</v>
      </c>
      <c r="M1128">
        <v>0</v>
      </c>
      <c r="N1128">
        <v>0</v>
      </c>
      <c r="O1128">
        <v>0</v>
      </c>
      <c r="P1128" s="5">
        <f t="shared" si="200"/>
        <v>0</v>
      </c>
      <c r="Q1128">
        <f t="shared" si="190"/>
        <v>0</v>
      </c>
      <c r="R1128">
        <f t="shared" si="191"/>
        <v>0</v>
      </c>
      <c r="S1128">
        <f t="shared" si="192"/>
        <v>0</v>
      </c>
      <c r="T1128">
        <f t="shared" si="193"/>
        <v>0</v>
      </c>
      <c r="U1128">
        <f t="shared" si="194"/>
        <v>0</v>
      </c>
      <c r="V1128">
        <f t="shared" si="195"/>
        <v>0</v>
      </c>
      <c r="W1128">
        <f t="shared" si="196"/>
        <v>0</v>
      </c>
      <c r="X1128">
        <f t="shared" si="197"/>
        <v>0</v>
      </c>
      <c r="Y1128">
        <f t="shared" si="198"/>
        <v>0</v>
      </c>
      <c r="Z1128">
        <f t="shared" si="199"/>
        <v>0</v>
      </c>
      <c r="AA1128" t="str">
        <f>INDEX('Priority activities'!$D$5:$D$86,MATCH('Database for analysis'!C1128,'Priority activities'!$C$5:$C$86,0))</f>
        <v>FP governance structure and program coordination</v>
      </c>
    </row>
    <row r="1129" spans="2:27" ht="16.5" thickTop="1" thickBot="1" x14ac:dyDescent="0.3">
      <c r="B1129" t="s">
        <v>727</v>
      </c>
      <c r="C1129" s="22" t="str">
        <f>'Costing inputs'!$C$511</f>
        <v>Print FP plan and brochures (SMC1.3)</v>
      </c>
      <c r="D1129" s="22" t="str">
        <f>'Costing inputs'!$U$511</f>
        <v>Central level</v>
      </c>
      <c r="E1129" s="22" t="str">
        <f>'Regional splits'!$I$14</f>
        <v>Northern</v>
      </c>
      <c r="F1129">
        <v>0</v>
      </c>
      <c r="G1129">
        <v>0</v>
      </c>
      <c r="H1129">
        <v>0</v>
      </c>
      <c r="I1129">
        <v>0</v>
      </c>
      <c r="J1129">
        <v>0</v>
      </c>
      <c r="K1129">
        <v>0</v>
      </c>
      <c r="L1129">
        <v>0</v>
      </c>
      <c r="M1129">
        <v>0</v>
      </c>
      <c r="N1129">
        <v>0</v>
      </c>
      <c r="O1129">
        <v>0</v>
      </c>
      <c r="P1129" s="5">
        <f t="shared" si="200"/>
        <v>0</v>
      </c>
      <c r="Q1129">
        <f t="shared" si="190"/>
        <v>0</v>
      </c>
      <c r="R1129">
        <f t="shared" si="191"/>
        <v>0</v>
      </c>
      <c r="S1129">
        <f t="shared" si="192"/>
        <v>0</v>
      </c>
      <c r="T1129">
        <f t="shared" si="193"/>
        <v>0</v>
      </c>
      <c r="U1129">
        <f t="shared" si="194"/>
        <v>0</v>
      </c>
      <c r="V1129">
        <f t="shared" si="195"/>
        <v>0</v>
      </c>
      <c r="W1129">
        <f t="shared" si="196"/>
        <v>0</v>
      </c>
      <c r="X1129">
        <f t="shared" si="197"/>
        <v>0</v>
      </c>
      <c r="Y1129">
        <f t="shared" si="198"/>
        <v>0</v>
      </c>
      <c r="Z1129">
        <f t="shared" si="199"/>
        <v>0</v>
      </c>
      <c r="AA1129" t="str">
        <f>INDEX('Priority activities'!$D$5:$D$86,MATCH('Database for analysis'!C1129,'Priority activities'!$C$5:$C$86,0))</f>
        <v>FP governance structure and program coordination</v>
      </c>
    </row>
    <row r="1130" spans="2:27" ht="16.5" thickTop="1" thickBot="1" x14ac:dyDescent="0.3">
      <c r="B1130" t="s">
        <v>727</v>
      </c>
      <c r="C1130" s="22" t="str">
        <f>'Costing inputs'!$C$511</f>
        <v>Print FP plan and brochures (SMC1.3)</v>
      </c>
      <c r="D1130" s="22" t="str">
        <f>'Costing inputs'!$U$511</f>
        <v>Central level</v>
      </c>
      <c r="E1130" s="22" t="str">
        <f>'Regional splits'!$J$14</f>
        <v>North Western</v>
      </c>
      <c r="F1130">
        <v>0</v>
      </c>
      <c r="G1130">
        <v>0</v>
      </c>
      <c r="H1130">
        <v>0</v>
      </c>
      <c r="I1130">
        <v>0</v>
      </c>
      <c r="J1130">
        <v>0</v>
      </c>
      <c r="K1130">
        <v>0</v>
      </c>
      <c r="L1130">
        <v>0</v>
      </c>
      <c r="M1130">
        <v>0</v>
      </c>
      <c r="N1130">
        <v>0</v>
      </c>
      <c r="O1130">
        <v>0</v>
      </c>
      <c r="P1130" s="5">
        <f t="shared" si="200"/>
        <v>0</v>
      </c>
      <c r="Q1130">
        <f t="shared" si="190"/>
        <v>0</v>
      </c>
      <c r="R1130">
        <f t="shared" si="191"/>
        <v>0</v>
      </c>
      <c r="S1130">
        <f t="shared" si="192"/>
        <v>0</v>
      </c>
      <c r="T1130">
        <f t="shared" si="193"/>
        <v>0</v>
      </c>
      <c r="U1130">
        <f t="shared" si="194"/>
        <v>0</v>
      </c>
      <c r="V1130">
        <f t="shared" si="195"/>
        <v>0</v>
      </c>
      <c r="W1130">
        <f t="shared" si="196"/>
        <v>0</v>
      </c>
      <c r="X1130">
        <f t="shared" si="197"/>
        <v>0</v>
      </c>
      <c r="Y1130">
        <f t="shared" si="198"/>
        <v>0</v>
      </c>
      <c r="Z1130">
        <f t="shared" si="199"/>
        <v>0</v>
      </c>
      <c r="AA1130" t="str">
        <f>INDEX('Priority activities'!$D$5:$D$86,MATCH('Database for analysis'!C1130,'Priority activities'!$C$5:$C$86,0))</f>
        <v>FP governance structure and program coordination</v>
      </c>
    </row>
    <row r="1131" spans="2:27" ht="16.5" thickTop="1" thickBot="1" x14ac:dyDescent="0.3">
      <c r="B1131" t="s">
        <v>727</v>
      </c>
      <c r="C1131" s="22" t="str">
        <f>'Costing inputs'!$C$511</f>
        <v>Print FP plan and brochures (SMC1.3)</v>
      </c>
      <c r="D1131" s="22" t="str">
        <f>'Costing inputs'!$U$511</f>
        <v>Central level</v>
      </c>
      <c r="E1131" s="22" t="str">
        <f>'Regional splits'!$K$14</f>
        <v>Southern</v>
      </c>
      <c r="F1131">
        <v>0</v>
      </c>
      <c r="G1131">
        <v>0</v>
      </c>
      <c r="H1131">
        <v>0</v>
      </c>
      <c r="I1131">
        <v>0</v>
      </c>
      <c r="J1131">
        <v>0</v>
      </c>
      <c r="K1131">
        <v>0</v>
      </c>
      <c r="L1131">
        <v>0</v>
      </c>
      <c r="M1131">
        <v>0</v>
      </c>
      <c r="N1131">
        <v>0</v>
      </c>
      <c r="O1131">
        <v>0</v>
      </c>
      <c r="P1131" s="5">
        <f t="shared" si="200"/>
        <v>0</v>
      </c>
      <c r="Q1131">
        <f t="shared" si="190"/>
        <v>0</v>
      </c>
      <c r="R1131">
        <f t="shared" si="191"/>
        <v>0</v>
      </c>
      <c r="S1131">
        <f t="shared" si="192"/>
        <v>0</v>
      </c>
      <c r="T1131">
        <f t="shared" si="193"/>
        <v>0</v>
      </c>
      <c r="U1131">
        <f t="shared" si="194"/>
        <v>0</v>
      </c>
      <c r="V1131">
        <f t="shared" si="195"/>
        <v>0</v>
      </c>
      <c r="W1131">
        <f t="shared" si="196"/>
        <v>0</v>
      </c>
      <c r="X1131">
        <f t="shared" si="197"/>
        <v>0</v>
      </c>
      <c r="Y1131">
        <f t="shared" si="198"/>
        <v>0</v>
      </c>
      <c r="Z1131">
        <f t="shared" si="199"/>
        <v>0</v>
      </c>
      <c r="AA1131" t="str">
        <f>INDEX('Priority activities'!$D$5:$D$86,MATCH('Database for analysis'!C1131,'Priority activities'!$C$5:$C$86,0))</f>
        <v>FP governance structure and program coordination</v>
      </c>
    </row>
    <row r="1132" spans="2:27" ht="16.5" thickTop="1" thickBot="1" x14ac:dyDescent="0.3">
      <c r="B1132" t="s">
        <v>727</v>
      </c>
      <c r="C1132" s="22" t="str">
        <f>'Costing inputs'!$C$511</f>
        <v>Print FP plan and brochures (SMC1.3)</v>
      </c>
      <c r="D1132" s="22" t="str">
        <f>'Costing inputs'!$U$511</f>
        <v>Central level</v>
      </c>
      <c r="E1132" s="22" t="str">
        <f>'Regional splits'!$L$14</f>
        <v>Western</v>
      </c>
      <c r="F1132">
        <v>0</v>
      </c>
      <c r="G1132">
        <v>0</v>
      </c>
      <c r="H1132">
        <v>0</v>
      </c>
      <c r="I1132">
        <v>0</v>
      </c>
      <c r="J1132">
        <v>0</v>
      </c>
      <c r="K1132">
        <v>0</v>
      </c>
      <c r="L1132">
        <v>0</v>
      </c>
      <c r="M1132">
        <v>0</v>
      </c>
      <c r="N1132">
        <v>0</v>
      </c>
      <c r="O1132">
        <v>0</v>
      </c>
      <c r="P1132" s="5">
        <f t="shared" si="200"/>
        <v>0</v>
      </c>
      <c r="Q1132">
        <f t="shared" si="190"/>
        <v>0</v>
      </c>
      <c r="R1132">
        <f t="shared" si="191"/>
        <v>0</v>
      </c>
      <c r="S1132">
        <f t="shared" si="192"/>
        <v>0</v>
      </c>
      <c r="T1132">
        <f t="shared" si="193"/>
        <v>0</v>
      </c>
      <c r="U1132">
        <f t="shared" si="194"/>
        <v>0</v>
      </c>
      <c r="V1132">
        <f t="shared" si="195"/>
        <v>0</v>
      </c>
      <c r="W1132">
        <f t="shared" si="196"/>
        <v>0</v>
      </c>
      <c r="X1132">
        <f t="shared" si="197"/>
        <v>0</v>
      </c>
      <c r="Y1132">
        <f t="shared" si="198"/>
        <v>0</v>
      </c>
      <c r="Z1132">
        <f t="shared" si="199"/>
        <v>0</v>
      </c>
      <c r="AA1132" t="str">
        <f>INDEX('Priority activities'!$D$5:$D$86,MATCH('Database for analysis'!C1132,'Priority activities'!$C$5:$C$86,0))</f>
        <v>FP governance structure and program coordination</v>
      </c>
    </row>
    <row r="1133" spans="2:27" ht="16.5" thickTop="1" thickBot="1" x14ac:dyDescent="0.3">
      <c r="B1133" t="s">
        <v>727</v>
      </c>
      <c r="C1133" s="22" t="str">
        <f>'Costing inputs'!$C$511</f>
        <v>Print FP plan and brochures (SMC1.3)</v>
      </c>
      <c r="D1133" s="22" t="str">
        <f>'Costing inputs'!$U$511</f>
        <v>Central level</v>
      </c>
      <c r="E1133" s="22">
        <f>'Regional splits'!$M$14</f>
        <v>0</v>
      </c>
      <c r="F1133">
        <v>0</v>
      </c>
      <c r="G1133">
        <v>0</v>
      </c>
      <c r="H1133">
        <v>0</v>
      </c>
      <c r="I1133">
        <v>0</v>
      </c>
      <c r="J1133">
        <v>0</v>
      </c>
      <c r="K1133">
        <v>0</v>
      </c>
      <c r="L1133">
        <v>0</v>
      </c>
      <c r="M1133">
        <v>0</v>
      </c>
      <c r="N1133">
        <v>0</v>
      </c>
      <c r="O1133">
        <v>0</v>
      </c>
      <c r="P1133" s="5">
        <f t="shared" si="200"/>
        <v>0</v>
      </c>
      <c r="Q1133">
        <f t="shared" si="190"/>
        <v>0</v>
      </c>
      <c r="R1133">
        <f t="shared" si="191"/>
        <v>0</v>
      </c>
      <c r="S1133">
        <f t="shared" si="192"/>
        <v>0</v>
      </c>
      <c r="T1133">
        <f t="shared" si="193"/>
        <v>0</v>
      </c>
      <c r="U1133">
        <f t="shared" si="194"/>
        <v>0</v>
      </c>
      <c r="V1133">
        <f t="shared" si="195"/>
        <v>0</v>
      </c>
      <c r="W1133">
        <f t="shared" si="196"/>
        <v>0</v>
      </c>
      <c r="X1133">
        <f t="shared" si="197"/>
        <v>0</v>
      </c>
      <c r="Y1133">
        <f t="shared" si="198"/>
        <v>0</v>
      </c>
      <c r="Z1133">
        <f t="shared" si="199"/>
        <v>0</v>
      </c>
      <c r="AA1133" t="str">
        <f>INDEX('Priority activities'!$D$5:$D$86,MATCH('Database for analysis'!C1133,'Priority activities'!$C$5:$C$86,0))</f>
        <v>FP governance structure and program coordination</v>
      </c>
    </row>
    <row r="1134" spans="2:27" ht="16.5" thickTop="1" thickBot="1" x14ac:dyDescent="0.3">
      <c r="B1134" t="s">
        <v>727</v>
      </c>
      <c r="C1134" s="22" t="str">
        <f>'Costing inputs'!$C$511</f>
        <v>Print FP plan and brochures (SMC1.3)</v>
      </c>
      <c r="D1134" s="22" t="str">
        <f>'Costing inputs'!$U$511</f>
        <v>Central level</v>
      </c>
      <c r="E1134" s="22">
        <f>'Regional splits'!$N$14</f>
        <v>0</v>
      </c>
      <c r="F1134">
        <v>0</v>
      </c>
      <c r="G1134">
        <v>0</v>
      </c>
      <c r="H1134">
        <v>0</v>
      </c>
      <c r="I1134">
        <v>0</v>
      </c>
      <c r="J1134">
        <v>0</v>
      </c>
      <c r="K1134">
        <v>0</v>
      </c>
      <c r="L1134">
        <v>0</v>
      </c>
      <c r="M1134">
        <v>0</v>
      </c>
      <c r="N1134">
        <v>0</v>
      </c>
      <c r="O1134">
        <v>0</v>
      </c>
      <c r="P1134" s="5">
        <f t="shared" si="200"/>
        <v>0</v>
      </c>
      <c r="Q1134">
        <f t="shared" si="190"/>
        <v>0</v>
      </c>
      <c r="R1134">
        <f t="shared" si="191"/>
        <v>0</v>
      </c>
      <c r="S1134">
        <f t="shared" si="192"/>
        <v>0</v>
      </c>
      <c r="T1134">
        <f t="shared" si="193"/>
        <v>0</v>
      </c>
      <c r="U1134">
        <f t="shared" si="194"/>
        <v>0</v>
      </c>
      <c r="V1134">
        <f t="shared" si="195"/>
        <v>0</v>
      </c>
      <c r="W1134">
        <f t="shared" si="196"/>
        <v>0</v>
      </c>
      <c r="X1134">
        <f t="shared" si="197"/>
        <v>0</v>
      </c>
      <c r="Y1134">
        <f t="shared" si="198"/>
        <v>0</v>
      </c>
      <c r="Z1134">
        <f t="shared" si="199"/>
        <v>0</v>
      </c>
      <c r="AA1134" t="str">
        <f>INDEX('Priority activities'!$D$5:$D$86,MATCH('Database for analysis'!C1134,'Priority activities'!$C$5:$C$86,0))</f>
        <v>FP governance structure and program coordination</v>
      </c>
    </row>
    <row r="1135" spans="2:27" ht="16.5" thickTop="1" thickBot="1" x14ac:dyDescent="0.3">
      <c r="B1135" t="s">
        <v>727</v>
      </c>
      <c r="C1135" s="22" t="str">
        <f>'Costing inputs'!$C$511</f>
        <v>Print FP plan and brochures (SMC1.3)</v>
      </c>
      <c r="D1135" s="22" t="str">
        <f>'Costing inputs'!$U$511</f>
        <v>Central level</v>
      </c>
      <c r="E1135" s="22">
        <f>'Regional splits'!$O$14</f>
        <v>0</v>
      </c>
      <c r="F1135">
        <v>0</v>
      </c>
      <c r="G1135">
        <v>0</v>
      </c>
      <c r="H1135">
        <v>0</v>
      </c>
      <c r="I1135">
        <v>0</v>
      </c>
      <c r="J1135">
        <v>0</v>
      </c>
      <c r="K1135">
        <v>0</v>
      </c>
      <c r="L1135">
        <v>0</v>
      </c>
      <c r="M1135">
        <v>0</v>
      </c>
      <c r="N1135">
        <v>0</v>
      </c>
      <c r="O1135">
        <v>0</v>
      </c>
      <c r="P1135" s="5">
        <f t="shared" si="200"/>
        <v>0</v>
      </c>
      <c r="Q1135">
        <f t="shared" si="190"/>
        <v>0</v>
      </c>
      <c r="R1135">
        <f t="shared" si="191"/>
        <v>0</v>
      </c>
      <c r="S1135">
        <f t="shared" si="192"/>
        <v>0</v>
      </c>
      <c r="T1135">
        <f t="shared" si="193"/>
        <v>0</v>
      </c>
      <c r="U1135">
        <f t="shared" si="194"/>
        <v>0</v>
      </c>
      <c r="V1135">
        <f t="shared" si="195"/>
        <v>0</v>
      </c>
      <c r="W1135">
        <f t="shared" si="196"/>
        <v>0</v>
      </c>
      <c r="X1135">
        <f t="shared" si="197"/>
        <v>0</v>
      </c>
      <c r="Y1135">
        <f t="shared" si="198"/>
        <v>0</v>
      </c>
      <c r="Z1135">
        <f t="shared" si="199"/>
        <v>0</v>
      </c>
      <c r="AA1135" t="str">
        <f>INDEX('Priority activities'!$D$5:$D$86,MATCH('Database for analysis'!C1135,'Priority activities'!$C$5:$C$86,0))</f>
        <v>FP governance structure and program coordination</v>
      </c>
    </row>
    <row r="1136" spans="2:27" ht="16.5" thickTop="1" thickBot="1" x14ac:dyDescent="0.3">
      <c r="B1136" t="s">
        <v>727</v>
      </c>
      <c r="C1136" s="22" t="str">
        <f>'Costing inputs'!$C$511</f>
        <v>Print FP plan and brochures (SMC1.3)</v>
      </c>
      <c r="D1136" s="22" t="str">
        <f>'Costing inputs'!$U$511</f>
        <v>Central level</v>
      </c>
      <c r="E1136" s="22">
        <f>'Regional splits'!$P$14</f>
        <v>0</v>
      </c>
      <c r="F1136">
        <v>0</v>
      </c>
      <c r="G1136">
        <v>0</v>
      </c>
      <c r="H1136">
        <v>0</v>
      </c>
      <c r="I1136">
        <v>0</v>
      </c>
      <c r="J1136">
        <v>0</v>
      </c>
      <c r="K1136">
        <v>0</v>
      </c>
      <c r="L1136">
        <v>0</v>
      </c>
      <c r="M1136">
        <v>0</v>
      </c>
      <c r="N1136">
        <v>0</v>
      </c>
      <c r="O1136">
        <v>0</v>
      </c>
      <c r="P1136" s="5">
        <f t="shared" si="200"/>
        <v>0</v>
      </c>
      <c r="Q1136">
        <f t="shared" si="190"/>
        <v>0</v>
      </c>
      <c r="R1136">
        <f t="shared" si="191"/>
        <v>0</v>
      </c>
      <c r="S1136">
        <f t="shared" si="192"/>
        <v>0</v>
      </c>
      <c r="T1136">
        <f t="shared" si="193"/>
        <v>0</v>
      </c>
      <c r="U1136">
        <f t="shared" si="194"/>
        <v>0</v>
      </c>
      <c r="V1136">
        <f t="shared" si="195"/>
        <v>0</v>
      </c>
      <c r="W1136">
        <f t="shared" si="196"/>
        <v>0</v>
      </c>
      <c r="X1136">
        <f t="shared" si="197"/>
        <v>0</v>
      </c>
      <c r="Y1136">
        <f t="shared" si="198"/>
        <v>0</v>
      </c>
      <c r="Z1136">
        <f t="shared" si="199"/>
        <v>0</v>
      </c>
      <c r="AA1136" t="str">
        <f>INDEX('Priority activities'!$D$5:$D$86,MATCH('Database for analysis'!C1136,'Priority activities'!$C$5:$C$86,0))</f>
        <v>FP governance structure and program coordination</v>
      </c>
    </row>
    <row r="1137" spans="2:27" ht="16.5" thickTop="1" thickBot="1" x14ac:dyDescent="0.3">
      <c r="B1137" t="s">
        <v>727</v>
      </c>
      <c r="C1137" s="22" t="str">
        <f>'Costing inputs'!$C$511</f>
        <v>Print FP plan and brochures (SMC1.3)</v>
      </c>
      <c r="D1137" s="22" t="str">
        <f>'Costing inputs'!$U$511</f>
        <v>Central level</v>
      </c>
      <c r="E1137" s="22">
        <f>'Regional splits'!$Q$14</f>
        <v>0</v>
      </c>
      <c r="F1137">
        <v>0</v>
      </c>
      <c r="G1137">
        <v>0</v>
      </c>
      <c r="H1137">
        <v>0</v>
      </c>
      <c r="I1137">
        <v>0</v>
      </c>
      <c r="J1137">
        <v>0</v>
      </c>
      <c r="K1137">
        <v>0</v>
      </c>
      <c r="L1137">
        <v>0</v>
      </c>
      <c r="M1137">
        <v>0</v>
      </c>
      <c r="N1137">
        <v>0</v>
      </c>
      <c r="O1137">
        <v>0</v>
      </c>
      <c r="P1137" s="5">
        <f t="shared" si="200"/>
        <v>0</v>
      </c>
      <c r="Q1137">
        <f t="shared" si="190"/>
        <v>0</v>
      </c>
      <c r="R1137">
        <f t="shared" si="191"/>
        <v>0</v>
      </c>
      <c r="S1137">
        <f t="shared" si="192"/>
        <v>0</v>
      </c>
      <c r="T1137">
        <f t="shared" si="193"/>
        <v>0</v>
      </c>
      <c r="U1137">
        <f t="shared" si="194"/>
        <v>0</v>
      </c>
      <c r="V1137">
        <f t="shared" si="195"/>
        <v>0</v>
      </c>
      <c r="W1137">
        <f t="shared" si="196"/>
        <v>0</v>
      </c>
      <c r="X1137">
        <f t="shared" si="197"/>
        <v>0</v>
      </c>
      <c r="Y1137">
        <f t="shared" si="198"/>
        <v>0</v>
      </c>
      <c r="Z1137">
        <f t="shared" si="199"/>
        <v>0</v>
      </c>
      <c r="AA1137" t="str">
        <f>INDEX('Priority activities'!$D$5:$D$86,MATCH('Database for analysis'!C1137,'Priority activities'!$C$5:$C$86,0))</f>
        <v>FP governance structure and program coordination</v>
      </c>
    </row>
    <row r="1138" spans="2:27" ht="16.5" thickTop="1" thickBot="1" x14ac:dyDescent="0.3">
      <c r="B1138" t="s">
        <v>727</v>
      </c>
      <c r="C1138" s="22" t="str">
        <f>'Costing inputs'!$C$511</f>
        <v>Print FP plan and brochures (SMC1.3)</v>
      </c>
      <c r="D1138" s="22" t="str">
        <f>'Costing inputs'!$U$511</f>
        <v>Central level</v>
      </c>
      <c r="E1138" s="22" t="str">
        <f>'Regional splits'!$R$14</f>
        <v>National-level</v>
      </c>
      <c r="F1138">
        <v>39000</v>
      </c>
      <c r="G1138">
        <v>0</v>
      </c>
      <c r="H1138">
        <v>0</v>
      </c>
      <c r="I1138">
        <v>0</v>
      </c>
      <c r="J1138">
        <v>0</v>
      </c>
      <c r="K1138">
        <v>0</v>
      </c>
      <c r="L1138">
        <v>0</v>
      </c>
      <c r="M1138">
        <v>0</v>
      </c>
      <c r="N1138">
        <v>0</v>
      </c>
      <c r="O1138">
        <v>0</v>
      </c>
      <c r="P1138" s="5">
        <f t="shared" si="200"/>
        <v>39000</v>
      </c>
      <c r="Q1138">
        <f t="shared" si="190"/>
        <v>39000</v>
      </c>
      <c r="R1138">
        <f t="shared" si="191"/>
        <v>0</v>
      </c>
      <c r="S1138">
        <f t="shared" si="192"/>
        <v>0</v>
      </c>
      <c r="T1138">
        <f t="shared" si="193"/>
        <v>0</v>
      </c>
      <c r="U1138">
        <f t="shared" si="194"/>
        <v>0</v>
      </c>
      <c r="V1138">
        <f t="shared" si="195"/>
        <v>0</v>
      </c>
      <c r="W1138">
        <f t="shared" si="196"/>
        <v>0</v>
      </c>
      <c r="X1138">
        <f t="shared" si="197"/>
        <v>0</v>
      </c>
      <c r="Y1138">
        <f t="shared" si="198"/>
        <v>0</v>
      </c>
      <c r="Z1138">
        <f t="shared" si="199"/>
        <v>0</v>
      </c>
      <c r="AA1138" t="str">
        <f>INDEX('Priority activities'!$D$5:$D$86,MATCH('Database for analysis'!C1138,'Priority activities'!$C$5:$C$86,0))</f>
        <v>FP governance structure and program coordination</v>
      </c>
    </row>
    <row r="1139" spans="2:27" ht="16.5" thickTop="1" thickBot="1" x14ac:dyDescent="0.3">
      <c r="B1139" t="s">
        <v>727</v>
      </c>
      <c r="C1139" s="22" t="str">
        <f>'Costing inputs'!$C$514</f>
        <v>Develop pilot for mobile phone data collection (SMC2.1)</v>
      </c>
      <c r="D1139" s="22" t="str">
        <f>'Costing inputs'!$U$514</f>
        <v>Districts</v>
      </c>
      <c r="E1139" s="22" t="str">
        <f>'Regional splits'!$C$14</f>
        <v>Central</v>
      </c>
      <c r="F1139">
        <f t="array" ref="F1139:O1154">'Costing inputs'!S514*'Costing inputs'!AP514:AY514*TRANSPOSE('Costing inputs'!W514:AL514)</f>
        <v>0</v>
      </c>
      <c r="G1139">
        <v>0</v>
      </c>
      <c r="H1139">
        <v>0</v>
      </c>
      <c r="I1139">
        <v>41666.666666666664</v>
      </c>
      <c r="J1139">
        <v>0</v>
      </c>
      <c r="K1139">
        <v>0</v>
      </c>
      <c r="L1139">
        <v>0</v>
      </c>
      <c r="M1139">
        <v>0</v>
      </c>
      <c r="N1139">
        <v>0</v>
      </c>
      <c r="O1139">
        <v>0</v>
      </c>
      <c r="P1139" s="5">
        <f t="shared" ref="P1139:P1154" si="201">SUMIF(F1139:O1139,"&lt;&gt;#N/A")</f>
        <v>41666.666666666664</v>
      </c>
      <c r="Q1139">
        <f t="shared" si="190"/>
        <v>0</v>
      </c>
      <c r="R1139">
        <f t="shared" si="191"/>
        <v>0</v>
      </c>
      <c r="S1139">
        <f t="shared" si="192"/>
        <v>0</v>
      </c>
      <c r="T1139">
        <f t="shared" si="193"/>
        <v>41666.666666666664</v>
      </c>
      <c r="U1139">
        <f t="shared" si="194"/>
        <v>0</v>
      </c>
      <c r="V1139">
        <f t="shared" si="195"/>
        <v>0</v>
      </c>
      <c r="W1139">
        <f t="shared" si="196"/>
        <v>0</v>
      </c>
      <c r="X1139">
        <f t="shared" si="197"/>
        <v>0</v>
      </c>
      <c r="Y1139">
        <f t="shared" si="198"/>
        <v>0</v>
      </c>
      <c r="Z1139">
        <f t="shared" si="199"/>
        <v>0</v>
      </c>
      <c r="AA1139" t="str">
        <f>INDEX('Priority activities'!$D$5:$D$86,MATCH('Database for analysis'!C1139,'Priority activities'!$C$5:$C$86,0))</f>
        <v>n/a</v>
      </c>
    </row>
    <row r="1140" spans="2:27" ht="16.5" thickTop="1" thickBot="1" x14ac:dyDescent="0.3">
      <c r="B1140" t="s">
        <v>727</v>
      </c>
      <c r="C1140" s="22" t="str">
        <f>'Costing inputs'!$C$514</f>
        <v>Develop pilot for mobile phone data collection (SMC2.1)</v>
      </c>
      <c r="D1140" s="22" t="str">
        <f>'Costing inputs'!$U$514</f>
        <v>Districts</v>
      </c>
      <c r="E1140" s="22" t="str">
        <f>'Regional splits'!$D$14</f>
        <v>Copperbelt</v>
      </c>
      <c r="F1140">
        <v>0</v>
      </c>
      <c r="G1140">
        <v>0</v>
      </c>
      <c r="H1140">
        <v>0</v>
      </c>
      <c r="I1140">
        <v>69444.444444444453</v>
      </c>
      <c r="J1140">
        <v>0</v>
      </c>
      <c r="K1140">
        <v>0</v>
      </c>
      <c r="L1140">
        <v>0</v>
      </c>
      <c r="M1140">
        <v>0</v>
      </c>
      <c r="N1140">
        <v>0</v>
      </c>
      <c r="O1140">
        <v>0</v>
      </c>
      <c r="P1140" s="5">
        <f t="shared" si="201"/>
        <v>69444.444444444453</v>
      </c>
      <c r="Q1140">
        <f t="shared" si="190"/>
        <v>0</v>
      </c>
      <c r="R1140">
        <f t="shared" si="191"/>
        <v>0</v>
      </c>
      <c r="S1140">
        <f t="shared" si="192"/>
        <v>0</v>
      </c>
      <c r="T1140">
        <f t="shared" si="193"/>
        <v>69444.444444444453</v>
      </c>
      <c r="U1140">
        <f t="shared" si="194"/>
        <v>0</v>
      </c>
      <c r="V1140">
        <f t="shared" si="195"/>
        <v>0</v>
      </c>
      <c r="W1140">
        <f t="shared" si="196"/>
        <v>0</v>
      </c>
      <c r="X1140">
        <f t="shared" si="197"/>
        <v>0</v>
      </c>
      <c r="Y1140">
        <f t="shared" si="198"/>
        <v>0</v>
      </c>
      <c r="Z1140">
        <f t="shared" si="199"/>
        <v>0</v>
      </c>
      <c r="AA1140" t="str">
        <f>INDEX('Priority activities'!$D$5:$D$86,MATCH('Database for analysis'!C1140,'Priority activities'!$C$5:$C$86,0))</f>
        <v>n/a</v>
      </c>
    </row>
    <row r="1141" spans="2:27" ht="16.5" thickTop="1" thickBot="1" x14ac:dyDescent="0.3">
      <c r="B1141" t="s">
        <v>727</v>
      </c>
      <c r="C1141" s="22" t="str">
        <f>'Costing inputs'!$C$514</f>
        <v>Develop pilot for mobile phone data collection (SMC2.1)</v>
      </c>
      <c r="D1141" s="22" t="str">
        <f>'Costing inputs'!$U$514</f>
        <v>Districts</v>
      </c>
      <c r="E1141" s="22" t="str">
        <f>'Regional splits'!$E$14</f>
        <v>Eastern</v>
      </c>
      <c r="F1141">
        <v>0</v>
      </c>
      <c r="G1141">
        <v>0</v>
      </c>
      <c r="H1141">
        <v>0</v>
      </c>
      <c r="I1141">
        <v>48611.111111111109</v>
      </c>
      <c r="J1141">
        <v>0</v>
      </c>
      <c r="K1141">
        <v>0</v>
      </c>
      <c r="L1141">
        <v>0</v>
      </c>
      <c r="M1141">
        <v>0</v>
      </c>
      <c r="N1141">
        <v>0</v>
      </c>
      <c r="O1141">
        <v>0</v>
      </c>
      <c r="P1141" s="5">
        <f t="shared" si="201"/>
        <v>48611.111111111109</v>
      </c>
      <c r="Q1141">
        <f t="shared" si="190"/>
        <v>0</v>
      </c>
      <c r="R1141">
        <f t="shared" si="191"/>
        <v>0</v>
      </c>
      <c r="S1141">
        <f t="shared" si="192"/>
        <v>0</v>
      </c>
      <c r="T1141">
        <f t="shared" si="193"/>
        <v>48611.111111111109</v>
      </c>
      <c r="U1141">
        <f t="shared" si="194"/>
        <v>0</v>
      </c>
      <c r="V1141">
        <f t="shared" si="195"/>
        <v>0</v>
      </c>
      <c r="W1141">
        <f t="shared" si="196"/>
        <v>0</v>
      </c>
      <c r="X1141">
        <f t="shared" si="197"/>
        <v>0</v>
      </c>
      <c r="Y1141">
        <f t="shared" si="198"/>
        <v>0</v>
      </c>
      <c r="Z1141">
        <f t="shared" si="199"/>
        <v>0</v>
      </c>
      <c r="AA1141" t="str">
        <f>INDEX('Priority activities'!$D$5:$D$86,MATCH('Database for analysis'!C1141,'Priority activities'!$C$5:$C$86,0))</f>
        <v>n/a</v>
      </c>
    </row>
    <row r="1142" spans="2:27" ht="16.5" thickTop="1" thickBot="1" x14ac:dyDescent="0.3">
      <c r="B1142" t="s">
        <v>727</v>
      </c>
      <c r="C1142" s="22" t="str">
        <f>'Costing inputs'!$C$514</f>
        <v>Develop pilot for mobile phone data collection (SMC2.1)</v>
      </c>
      <c r="D1142" s="22" t="str">
        <f>'Costing inputs'!$U$514</f>
        <v>Districts</v>
      </c>
      <c r="E1142" s="22" t="str">
        <f>'Regional splits'!$F$14</f>
        <v>Luapula</v>
      </c>
      <c r="F1142">
        <v>0</v>
      </c>
      <c r="G1142">
        <v>0</v>
      </c>
      <c r="H1142">
        <v>0</v>
      </c>
      <c r="I1142">
        <v>48611.111111111109</v>
      </c>
      <c r="J1142">
        <v>0</v>
      </c>
      <c r="K1142">
        <v>0</v>
      </c>
      <c r="L1142">
        <v>0</v>
      </c>
      <c r="M1142">
        <v>0</v>
      </c>
      <c r="N1142">
        <v>0</v>
      </c>
      <c r="O1142">
        <v>0</v>
      </c>
      <c r="P1142" s="5">
        <f t="shared" si="201"/>
        <v>48611.111111111109</v>
      </c>
      <c r="Q1142">
        <f t="shared" si="190"/>
        <v>0</v>
      </c>
      <c r="R1142">
        <f t="shared" si="191"/>
        <v>0</v>
      </c>
      <c r="S1142">
        <f t="shared" si="192"/>
        <v>0</v>
      </c>
      <c r="T1142">
        <f t="shared" si="193"/>
        <v>48611.111111111109</v>
      </c>
      <c r="U1142">
        <f t="shared" si="194"/>
        <v>0</v>
      </c>
      <c r="V1142">
        <f t="shared" si="195"/>
        <v>0</v>
      </c>
      <c r="W1142">
        <f t="shared" si="196"/>
        <v>0</v>
      </c>
      <c r="X1142">
        <f t="shared" si="197"/>
        <v>0</v>
      </c>
      <c r="Y1142">
        <f t="shared" si="198"/>
        <v>0</v>
      </c>
      <c r="Z1142">
        <f t="shared" si="199"/>
        <v>0</v>
      </c>
      <c r="AA1142" t="str">
        <f>INDEX('Priority activities'!$D$5:$D$86,MATCH('Database for analysis'!C1142,'Priority activities'!$C$5:$C$86,0))</f>
        <v>n/a</v>
      </c>
    </row>
    <row r="1143" spans="2:27" ht="16.5" thickTop="1" thickBot="1" x14ac:dyDescent="0.3">
      <c r="B1143" t="s">
        <v>727</v>
      </c>
      <c r="C1143" s="22" t="str">
        <f>'Costing inputs'!$C$514</f>
        <v>Develop pilot for mobile phone data collection (SMC2.1)</v>
      </c>
      <c r="D1143" s="22" t="str">
        <f>'Costing inputs'!$U$514</f>
        <v>Districts</v>
      </c>
      <c r="E1143" s="22" t="str">
        <f>'Regional splits'!$G$14</f>
        <v>Lusaka</v>
      </c>
      <c r="F1143">
        <v>0</v>
      </c>
      <c r="G1143">
        <v>0</v>
      </c>
      <c r="H1143">
        <v>0</v>
      </c>
      <c r="I1143">
        <v>27777.777777777777</v>
      </c>
      <c r="J1143">
        <v>0</v>
      </c>
      <c r="K1143">
        <v>0</v>
      </c>
      <c r="L1143">
        <v>0</v>
      </c>
      <c r="M1143">
        <v>0</v>
      </c>
      <c r="N1143">
        <v>0</v>
      </c>
      <c r="O1143">
        <v>0</v>
      </c>
      <c r="P1143" s="5">
        <f t="shared" si="201"/>
        <v>27777.777777777777</v>
      </c>
      <c r="Q1143">
        <f t="shared" si="190"/>
        <v>0</v>
      </c>
      <c r="R1143">
        <f t="shared" si="191"/>
        <v>0</v>
      </c>
      <c r="S1143">
        <f t="shared" si="192"/>
        <v>0</v>
      </c>
      <c r="T1143">
        <f t="shared" si="193"/>
        <v>27777.777777777777</v>
      </c>
      <c r="U1143">
        <f t="shared" si="194"/>
        <v>0</v>
      </c>
      <c r="V1143">
        <f t="shared" si="195"/>
        <v>0</v>
      </c>
      <c r="W1143">
        <f t="shared" si="196"/>
        <v>0</v>
      </c>
      <c r="X1143">
        <f t="shared" si="197"/>
        <v>0</v>
      </c>
      <c r="Y1143">
        <f t="shared" si="198"/>
        <v>0</v>
      </c>
      <c r="Z1143">
        <f t="shared" si="199"/>
        <v>0</v>
      </c>
      <c r="AA1143" t="str">
        <f>INDEX('Priority activities'!$D$5:$D$86,MATCH('Database for analysis'!C1143,'Priority activities'!$C$5:$C$86,0))</f>
        <v>n/a</v>
      </c>
    </row>
    <row r="1144" spans="2:27" ht="16.5" thickTop="1" thickBot="1" x14ac:dyDescent="0.3">
      <c r="B1144" t="s">
        <v>727</v>
      </c>
      <c r="C1144" s="22" t="str">
        <f>'Costing inputs'!$C$514</f>
        <v>Develop pilot for mobile phone data collection (SMC2.1)</v>
      </c>
      <c r="D1144" s="22" t="str">
        <f>'Costing inputs'!$U$514</f>
        <v>Districts</v>
      </c>
      <c r="E1144" s="22" t="str">
        <f>'Regional splits'!$H$14</f>
        <v>Muchinga</v>
      </c>
      <c r="F1144">
        <v>0</v>
      </c>
      <c r="G1144">
        <v>0</v>
      </c>
      <c r="H1144">
        <v>0</v>
      </c>
      <c r="I1144">
        <v>34722.222222222226</v>
      </c>
      <c r="J1144">
        <v>0</v>
      </c>
      <c r="K1144">
        <v>0</v>
      </c>
      <c r="L1144">
        <v>0</v>
      </c>
      <c r="M1144">
        <v>0</v>
      </c>
      <c r="N1144">
        <v>0</v>
      </c>
      <c r="O1144">
        <v>0</v>
      </c>
      <c r="P1144" s="5">
        <f t="shared" si="201"/>
        <v>34722.222222222226</v>
      </c>
      <c r="Q1144">
        <f t="shared" si="190"/>
        <v>0</v>
      </c>
      <c r="R1144">
        <f t="shared" si="191"/>
        <v>0</v>
      </c>
      <c r="S1144">
        <f t="shared" si="192"/>
        <v>0</v>
      </c>
      <c r="T1144">
        <f t="shared" si="193"/>
        <v>34722.222222222226</v>
      </c>
      <c r="U1144">
        <f t="shared" si="194"/>
        <v>0</v>
      </c>
      <c r="V1144">
        <f t="shared" si="195"/>
        <v>0</v>
      </c>
      <c r="W1144">
        <f t="shared" si="196"/>
        <v>0</v>
      </c>
      <c r="X1144">
        <f t="shared" si="197"/>
        <v>0</v>
      </c>
      <c r="Y1144">
        <f t="shared" si="198"/>
        <v>0</v>
      </c>
      <c r="Z1144">
        <f t="shared" si="199"/>
        <v>0</v>
      </c>
      <c r="AA1144" t="str">
        <f>INDEX('Priority activities'!$D$5:$D$86,MATCH('Database for analysis'!C1144,'Priority activities'!$C$5:$C$86,0))</f>
        <v>n/a</v>
      </c>
    </row>
    <row r="1145" spans="2:27" ht="16.5" thickTop="1" thickBot="1" x14ac:dyDescent="0.3">
      <c r="B1145" t="s">
        <v>727</v>
      </c>
      <c r="C1145" s="22" t="str">
        <f>'Costing inputs'!$C$514</f>
        <v>Develop pilot for mobile phone data collection (SMC2.1)</v>
      </c>
      <c r="D1145" s="22" t="str">
        <f>'Costing inputs'!$U$514</f>
        <v>Districts</v>
      </c>
      <c r="E1145" s="22" t="str">
        <f>'Regional splits'!$I$14</f>
        <v>Northern</v>
      </c>
      <c r="F1145">
        <v>0</v>
      </c>
      <c r="G1145">
        <v>0</v>
      </c>
      <c r="H1145">
        <v>0</v>
      </c>
      <c r="I1145">
        <v>55555.555555555555</v>
      </c>
      <c r="J1145">
        <v>0</v>
      </c>
      <c r="K1145">
        <v>0</v>
      </c>
      <c r="L1145">
        <v>0</v>
      </c>
      <c r="M1145">
        <v>0</v>
      </c>
      <c r="N1145">
        <v>0</v>
      </c>
      <c r="O1145">
        <v>0</v>
      </c>
      <c r="P1145" s="5">
        <f t="shared" si="201"/>
        <v>55555.555555555555</v>
      </c>
      <c r="Q1145">
        <f t="shared" si="190"/>
        <v>0</v>
      </c>
      <c r="R1145">
        <f t="shared" si="191"/>
        <v>0</v>
      </c>
      <c r="S1145">
        <f t="shared" si="192"/>
        <v>0</v>
      </c>
      <c r="T1145">
        <f t="shared" si="193"/>
        <v>55555.555555555555</v>
      </c>
      <c r="U1145">
        <f t="shared" si="194"/>
        <v>0</v>
      </c>
      <c r="V1145">
        <f t="shared" si="195"/>
        <v>0</v>
      </c>
      <c r="W1145">
        <f t="shared" si="196"/>
        <v>0</v>
      </c>
      <c r="X1145">
        <f t="shared" si="197"/>
        <v>0</v>
      </c>
      <c r="Y1145">
        <f t="shared" si="198"/>
        <v>0</v>
      </c>
      <c r="Z1145">
        <f t="shared" si="199"/>
        <v>0</v>
      </c>
      <c r="AA1145" t="str">
        <f>INDEX('Priority activities'!$D$5:$D$86,MATCH('Database for analysis'!C1145,'Priority activities'!$C$5:$C$86,0))</f>
        <v>n/a</v>
      </c>
    </row>
    <row r="1146" spans="2:27" ht="16.5" thickTop="1" thickBot="1" x14ac:dyDescent="0.3">
      <c r="B1146" t="s">
        <v>727</v>
      </c>
      <c r="C1146" s="22" t="str">
        <f>'Costing inputs'!$C$514</f>
        <v>Develop pilot for mobile phone data collection (SMC2.1)</v>
      </c>
      <c r="D1146" s="22" t="str">
        <f>'Costing inputs'!$U$514</f>
        <v>Districts</v>
      </c>
      <c r="E1146" s="22" t="str">
        <f>'Regional splits'!$J$14</f>
        <v>North Western</v>
      </c>
      <c r="F1146">
        <v>0</v>
      </c>
      <c r="G1146">
        <v>0</v>
      </c>
      <c r="H1146">
        <v>0</v>
      </c>
      <c r="I1146">
        <v>48611.111111111109</v>
      </c>
      <c r="J1146">
        <v>0</v>
      </c>
      <c r="K1146">
        <v>0</v>
      </c>
      <c r="L1146">
        <v>0</v>
      </c>
      <c r="M1146">
        <v>0</v>
      </c>
      <c r="N1146">
        <v>0</v>
      </c>
      <c r="O1146">
        <v>0</v>
      </c>
      <c r="P1146" s="5">
        <f t="shared" si="201"/>
        <v>48611.111111111109</v>
      </c>
      <c r="Q1146">
        <f t="shared" si="190"/>
        <v>0</v>
      </c>
      <c r="R1146">
        <f t="shared" si="191"/>
        <v>0</v>
      </c>
      <c r="S1146">
        <f t="shared" si="192"/>
        <v>0</v>
      </c>
      <c r="T1146">
        <f t="shared" si="193"/>
        <v>48611.111111111109</v>
      </c>
      <c r="U1146">
        <f t="shared" si="194"/>
        <v>0</v>
      </c>
      <c r="V1146">
        <f t="shared" si="195"/>
        <v>0</v>
      </c>
      <c r="W1146">
        <f t="shared" si="196"/>
        <v>0</v>
      </c>
      <c r="X1146">
        <f t="shared" si="197"/>
        <v>0</v>
      </c>
      <c r="Y1146">
        <f t="shared" si="198"/>
        <v>0</v>
      </c>
      <c r="Z1146">
        <f t="shared" si="199"/>
        <v>0</v>
      </c>
      <c r="AA1146" t="str">
        <f>INDEX('Priority activities'!$D$5:$D$86,MATCH('Database for analysis'!C1146,'Priority activities'!$C$5:$C$86,0))</f>
        <v>n/a</v>
      </c>
    </row>
    <row r="1147" spans="2:27" ht="16.5" thickTop="1" thickBot="1" x14ac:dyDescent="0.3">
      <c r="B1147" t="s">
        <v>727</v>
      </c>
      <c r="C1147" s="22" t="str">
        <f>'Costing inputs'!$C$514</f>
        <v>Develop pilot for mobile phone data collection (SMC2.1)</v>
      </c>
      <c r="D1147" s="22" t="str">
        <f>'Costing inputs'!$U$514</f>
        <v>Districts</v>
      </c>
      <c r="E1147" s="22" t="str">
        <f>'Regional splits'!$K$14</f>
        <v>Southern</v>
      </c>
      <c r="F1147">
        <v>0</v>
      </c>
      <c r="G1147">
        <v>0</v>
      </c>
      <c r="H1147">
        <v>0</v>
      </c>
      <c r="I1147">
        <v>76388.888888888891</v>
      </c>
      <c r="J1147">
        <v>0</v>
      </c>
      <c r="K1147">
        <v>0</v>
      </c>
      <c r="L1147">
        <v>0</v>
      </c>
      <c r="M1147">
        <v>0</v>
      </c>
      <c r="N1147">
        <v>0</v>
      </c>
      <c r="O1147">
        <v>0</v>
      </c>
      <c r="P1147" s="5">
        <f t="shared" si="201"/>
        <v>76388.888888888891</v>
      </c>
      <c r="Q1147">
        <f t="shared" si="190"/>
        <v>0</v>
      </c>
      <c r="R1147">
        <f t="shared" si="191"/>
        <v>0</v>
      </c>
      <c r="S1147">
        <f t="shared" si="192"/>
        <v>0</v>
      </c>
      <c r="T1147">
        <f t="shared" si="193"/>
        <v>76388.888888888891</v>
      </c>
      <c r="U1147">
        <f t="shared" si="194"/>
        <v>0</v>
      </c>
      <c r="V1147">
        <f t="shared" si="195"/>
        <v>0</v>
      </c>
      <c r="W1147">
        <f t="shared" si="196"/>
        <v>0</v>
      </c>
      <c r="X1147">
        <f t="shared" si="197"/>
        <v>0</v>
      </c>
      <c r="Y1147">
        <f t="shared" si="198"/>
        <v>0</v>
      </c>
      <c r="Z1147">
        <f t="shared" si="199"/>
        <v>0</v>
      </c>
      <c r="AA1147" t="str">
        <f>INDEX('Priority activities'!$D$5:$D$86,MATCH('Database for analysis'!C1147,'Priority activities'!$C$5:$C$86,0))</f>
        <v>n/a</v>
      </c>
    </row>
    <row r="1148" spans="2:27" ht="16.5" thickTop="1" thickBot="1" x14ac:dyDescent="0.3">
      <c r="B1148" t="s">
        <v>727</v>
      </c>
      <c r="C1148" s="22" t="str">
        <f>'Costing inputs'!$C$514</f>
        <v>Develop pilot for mobile phone data collection (SMC2.1)</v>
      </c>
      <c r="D1148" s="22" t="str">
        <f>'Costing inputs'!$U$514</f>
        <v>Districts</v>
      </c>
      <c r="E1148" s="22" t="str">
        <f>'Regional splits'!$L$14</f>
        <v>Western</v>
      </c>
      <c r="F1148">
        <v>0</v>
      </c>
      <c r="G1148">
        <v>0</v>
      </c>
      <c r="H1148">
        <v>0</v>
      </c>
      <c r="I1148">
        <v>48611.111111111109</v>
      </c>
      <c r="J1148">
        <v>0</v>
      </c>
      <c r="K1148">
        <v>0</v>
      </c>
      <c r="L1148">
        <v>0</v>
      </c>
      <c r="M1148">
        <v>0</v>
      </c>
      <c r="N1148">
        <v>0</v>
      </c>
      <c r="O1148">
        <v>0</v>
      </c>
      <c r="P1148" s="5">
        <f t="shared" si="201"/>
        <v>48611.111111111109</v>
      </c>
      <c r="Q1148">
        <f t="shared" si="190"/>
        <v>0</v>
      </c>
      <c r="R1148">
        <f t="shared" si="191"/>
        <v>0</v>
      </c>
      <c r="S1148">
        <f t="shared" si="192"/>
        <v>0</v>
      </c>
      <c r="T1148">
        <f t="shared" si="193"/>
        <v>48611.111111111109</v>
      </c>
      <c r="U1148">
        <f t="shared" si="194"/>
        <v>0</v>
      </c>
      <c r="V1148">
        <f t="shared" si="195"/>
        <v>0</v>
      </c>
      <c r="W1148">
        <f t="shared" si="196"/>
        <v>0</v>
      </c>
      <c r="X1148">
        <f t="shared" si="197"/>
        <v>0</v>
      </c>
      <c r="Y1148">
        <f t="shared" si="198"/>
        <v>0</v>
      </c>
      <c r="Z1148">
        <f t="shared" si="199"/>
        <v>0</v>
      </c>
      <c r="AA1148" t="str">
        <f>INDEX('Priority activities'!$D$5:$D$86,MATCH('Database for analysis'!C1148,'Priority activities'!$C$5:$C$86,0))</f>
        <v>n/a</v>
      </c>
    </row>
    <row r="1149" spans="2:27" ht="16.5" thickTop="1" thickBot="1" x14ac:dyDescent="0.3">
      <c r="B1149" t="s">
        <v>727</v>
      </c>
      <c r="C1149" s="22" t="str">
        <f>'Costing inputs'!$C$514</f>
        <v>Develop pilot for mobile phone data collection (SMC2.1)</v>
      </c>
      <c r="D1149" s="22" t="str">
        <f>'Costing inputs'!$U$514</f>
        <v>Districts</v>
      </c>
      <c r="E1149" s="22">
        <f>'Regional splits'!$M$14</f>
        <v>0</v>
      </c>
      <c r="F1149">
        <v>0</v>
      </c>
      <c r="G1149">
        <v>0</v>
      </c>
      <c r="H1149">
        <v>0</v>
      </c>
      <c r="I1149">
        <v>0</v>
      </c>
      <c r="J1149">
        <v>0</v>
      </c>
      <c r="K1149">
        <v>0</v>
      </c>
      <c r="L1149">
        <v>0</v>
      </c>
      <c r="M1149">
        <v>0</v>
      </c>
      <c r="N1149">
        <v>0</v>
      </c>
      <c r="O1149">
        <v>0</v>
      </c>
      <c r="P1149" s="5">
        <f t="shared" si="201"/>
        <v>0</v>
      </c>
      <c r="Q1149">
        <f t="shared" si="190"/>
        <v>0</v>
      </c>
      <c r="R1149">
        <f t="shared" si="191"/>
        <v>0</v>
      </c>
      <c r="S1149">
        <f t="shared" si="192"/>
        <v>0</v>
      </c>
      <c r="T1149">
        <f t="shared" si="193"/>
        <v>0</v>
      </c>
      <c r="U1149">
        <f t="shared" si="194"/>
        <v>0</v>
      </c>
      <c r="V1149">
        <f t="shared" si="195"/>
        <v>0</v>
      </c>
      <c r="W1149">
        <f t="shared" si="196"/>
        <v>0</v>
      </c>
      <c r="X1149">
        <f t="shared" si="197"/>
        <v>0</v>
      </c>
      <c r="Y1149">
        <f t="shared" si="198"/>
        <v>0</v>
      </c>
      <c r="Z1149">
        <f t="shared" si="199"/>
        <v>0</v>
      </c>
      <c r="AA1149" t="str">
        <f>INDEX('Priority activities'!$D$5:$D$86,MATCH('Database for analysis'!C1149,'Priority activities'!$C$5:$C$86,0))</f>
        <v>n/a</v>
      </c>
    </row>
    <row r="1150" spans="2:27" ht="16.5" thickTop="1" thickBot="1" x14ac:dyDescent="0.3">
      <c r="B1150" t="s">
        <v>727</v>
      </c>
      <c r="C1150" s="22" t="str">
        <f>'Costing inputs'!$C$514</f>
        <v>Develop pilot for mobile phone data collection (SMC2.1)</v>
      </c>
      <c r="D1150" s="22" t="str">
        <f>'Costing inputs'!$U$514</f>
        <v>Districts</v>
      </c>
      <c r="E1150" s="22">
        <f>'Regional splits'!$N$14</f>
        <v>0</v>
      </c>
      <c r="F1150">
        <v>0</v>
      </c>
      <c r="G1150">
        <v>0</v>
      </c>
      <c r="H1150">
        <v>0</v>
      </c>
      <c r="I1150">
        <v>0</v>
      </c>
      <c r="J1150">
        <v>0</v>
      </c>
      <c r="K1150">
        <v>0</v>
      </c>
      <c r="L1150">
        <v>0</v>
      </c>
      <c r="M1150">
        <v>0</v>
      </c>
      <c r="N1150">
        <v>0</v>
      </c>
      <c r="O1150">
        <v>0</v>
      </c>
      <c r="P1150" s="5">
        <f t="shared" si="201"/>
        <v>0</v>
      </c>
      <c r="Q1150">
        <f t="shared" si="190"/>
        <v>0</v>
      </c>
      <c r="R1150">
        <f t="shared" si="191"/>
        <v>0</v>
      </c>
      <c r="S1150">
        <f t="shared" si="192"/>
        <v>0</v>
      </c>
      <c r="T1150">
        <f t="shared" si="193"/>
        <v>0</v>
      </c>
      <c r="U1150">
        <f t="shared" si="194"/>
        <v>0</v>
      </c>
      <c r="V1150">
        <f t="shared" si="195"/>
        <v>0</v>
      </c>
      <c r="W1150">
        <f t="shared" si="196"/>
        <v>0</v>
      </c>
      <c r="X1150">
        <f t="shared" si="197"/>
        <v>0</v>
      </c>
      <c r="Y1150">
        <f t="shared" si="198"/>
        <v>0</v>
      </c>
      <c r="Z1150">
        <f t="shared" si="199"/>
        <v>0</v>
      </c>
      <c r="AA1150" t="str">
        <f>INDEX('Priority activities'!$D$5:$D$86,MATCH('Database for analysis'!C1150,'Priority activities'!$C$5:$C$86,0))</f>
        <v>n/a</v>
      </c>
    </row>
    <row r="1151" spans="2:27" ht="16.5" thickTop="1" thickBot="1" x14ac:dyDescent="0.3">
      <c r="B1151" t="s">
        <v>727</v>
      </c>
      <c r="C1151" s="22" t="str">
        <f>'Costing inputs'!$C$514</f>
        <v>Develop pilot for mobile phone data collection (SMC2.1)</v>
      </c>
      <c r="D1151" s="22" t="str">
        <f>'Costing inputs'!$U$514</f>
        <v>Districts</v>
      </c>
      <c r="E1151" s="22">
        <f>'Regional splits'!$O$14</f>
        <v>0</v>
      </c>
      <c r="F1151">
        <v>0</v>
      </c>
      <c r="G1151">
        <v>0</v>
      </c>
      <c r="H1151">
        <v>0</v>
      </c>
      <c r="I1151">
        <v>0</v>
      </c>
      <c r="J1151">
        <v>0</v>
      </c>
      <c r="K1151">
        <v>0</v>
      </c>
      <c r="L1151">
        <v>0</v>
      </c>
      <c r="M1151">
        <v>0</v>
      </c>
      <c r="N1151">
        <v>0</v>
      </c>
      <c r="O1151">
        <v>0</v>
      </c>
      <c r="P1151" s="5">
        <f t="shared" si="201"/>
        <v>0</v>
      </c>
      <c r="Q1151">
        <f t="shared" si="190"/>
        <v>0</v>
      </c>
      <c r="R1151">
        <f t="shared" si="191"/>
        <v>0</v>
      </c>
      <c r="S1151">
        <f t="shared" si="192"/>
        <v>0</v>
      </c>
      <c r="T1151">
        <f t="shared" si="193"/>
        <v>0</v>
      </c>
      <c r="U1151">
        <f t="shared" si="194"/>
        <v>0</v>
      </c>
      <c r="V1151">
        <f t="shared" si="195"/>
        <v>0</v>
      </c>
      <c r="W1151">
        <f t="shared" si="196"/>
        <v>0</v>
      </c>
      <c r="X1151">
        <f t="shared" si="197"/>
        <v>0</v>
      </c>
      <c r="Y1151">
        <f t="shared" si="198"/>
        <v>0</v>
      </c>
      <c r="Z1151">
        <f t="shared" si="199"/>
        <v>0</v>
      </c>
      <c r="AA1151" t="str">
        <f>INDEX('Priority activities'!$D$5:$D$86,MATCH('Database for analysis'!C1151,'Priority activities'!$C$5:$C$86,0))</f>
        <v>n/a</v>
      </c>
    </row>
    <row r="1152" spans="2:27" ht="16.5" thickTop="1" thickBot="1" x14ac:dyDescent="0.3">
      <c r="B1152" t="s">
        <v>727</v>
      </c>
      <c r="C1152" s="22" t="str">
        <f>'Costing inputs'!$C$514</f>
        <v>Develop pilot for mobile phone data collection (SMC2.1)</v>
      </c>
      <c r="D1152" s="22" t="str">
        <f>'Costing inputs'!$U$514</f>
        <v>Districts</v>
      </c>
      <c r="E1152" s="22">
        <f>'Regional splits'!$P$14</f>
        <v>0</v>
      </c>
      <c r="F1152">
        <v>0</v>
      </c>
      <c r="G1152">
        <v>0</v>
      </c>
      <c r="H1152">
        <v>0</v>
      </c>
      <c r="I1152">
        <v>0</v>
      </c>
      <c r="J1152">
        <v>0</v>
      </c>
      <c r="K1152">
        <v>0</v>
      </c>
      <c r="L1152">
        <v>0</v>
      </c>
      <c r="M1152">
        <v>0</v>
      </c>
      <c r="N1152">
        <v>0</v>
      </c>
      <c r="O1152">
        <v>0</v>
      </c>
      <c r="P1152" s="5">
        <f t="shared" si="201"/>
        <v>0</v>
      </c>
      <c r="Q1152">
        <f t="shared" si="190"/>
        <v>0</v>
      </c>
      <c r="R1152">
        <f t="shared" si="191"/>
        <v>0</v>
      </c>
      <c r="S1152">
        <f t="shared" si="192"/>
        <v>0</v>
      </c>
      <c r="T1152">
        <f t="shared" si="193"/>
        <v>0</v>
      </c>
      <c r="U1152">
        <f t="shared" si="194"/>
        <v>0</v>
      </c>
      <c r="V1152">
        <f t="shared" si="195"/>
        <v>0</v>
      </c>
      <c r="W1152">
        <f t="shared" si="196"/>
        <v>0</v>
      </c>
      <c r="X1152">
        <f t="shared" si="197"/>
        <v>0</v>
      </c>
      <c r="Y1152">
        <f t="shared" si="198"/>
        <v>0</v>
      </c>
      <c r="Z1152">
        <f t="shared" si="199"/>
        <v>0</v>
      </c>
      <c r="AA1152" t="str">
        <f>INDEX('Priority activities'!$D$5:$D$86,MATCH('Database for analysis'!C1152,'Priority activities'!$C$5:$C$86,0))</f>
        <v>n/a</v>
      </c>
    </row>
    <row r="1153" spans="2:27" ht="16.5" thickTop="1" thickBot="1" x14ac:dyDescent="0.3">
      <c r="B1153" t="s">
        <v>727</v>
      </c>
      <c r="C1153" s="22" t="str">
        <f>'Costing inputs'!$C$514</f>
        <v>Develop pilot for mobile phone data collection (SMC2.1)</v>
      </c>
      <c r="D1153" s="22" t="str">
        <f>'Costing inputs'!$U$514</f>
        <v>Districts</v>
      </c>
      <c r="E1153" s="22">
        <f>'Regional splits'!$Q$14</f>
        <v>0</v>
      </c>
      <c r="F1153">
        <v>0</v>
      </c>
      <c r="G1153">
        <v>0</v>
      </c>
      <c r="H1153">
        <v>0</v>
      </c>
      <c r="I1153">
        <v>0</v>
      </c>
      <c r="J1153">
        <v>0</v>
      </c>
      <c r="K1153">
        <v>0</v>
      </c>
      <c r="L1153">
        <v>0</v>
      </c>
      <c r="M1153">
        <v>0</v>
      </c>
      <c r="N1153">
        <v>0</v>
      </c>
      <c r="O1153">
        <v>0</v>
      </c>
      <c r="P1153" s="5">
        <f t="shared" si="201"/>
        <v>0</v>
      </c>
      <c r="Q1153">
        <f t="shared" si="190"/>
        <v>0</v>
      </c>
      <c r="R1153">
        <f t="shared" si="191"/>
        <v>0</v>
      </c>
      <c r="S1153">
        <f t="shared" si="192"/>
        <v>0</v>
      </c>
      <c r="T1153">
        <f t="shared" si="193"/>
        <v>0</v>
      </c>
      <c r="U1153">
        <f t="shared" si="194"/>
        <v>0</v>
      </c>
      <c r="V1153">
        <f t="shared" si="195"/>
        <v>0</v>
      </c>
      <c r="W1153">
        <f t="shared" si="196"/>
        <v>0</v>
      </c>
      <c r="X1153">
        <f t="shared" si="197"/>
        <v>0</v>
      </c>
      <c r="Y1153">
        <f t="shared" si="198"/>
        <v>0</v>
      </c>
      <c r="Z1153">
        <f t="shared" si="199"/>
        <v>0</v>
      </c>
      <c r="AA1153" t="str">
        <f>INDEX('Priority activities'!$D$5:$D$86,MATCH('Database for analysis'!C1153,'Priority activities'!$C$5:$C$86,0))</f>
        <v>n/a</v>
      </c>
    </row>
    <row r="1154" spans="2:27" ht="16.5" thickTop="1" thickBot="1" x14ac:dyDescent="0.3">
      <c r="B1154" t="s">
        <v>727</v>
      </c>
      <c r="C1154" s="22" t="str">
        <f>'Costing inputs'!$C$514</f>
        <v>Develop pilot for mobile phone data collection (SMC2.1)</v>
      </c>
      <c r="D1154" s="22" t="str">
        <f>'Costing inputs'!$U$514</f>
        <v>Districts</v>
      </c>
      <c r="E1154" s="22" t="str">
        <f>'Regional splits'!$R$14</f>
        <v>National-level</v>
      </c>
      <c r="F1154">
        <v>0</v>
      </c>
      <c r="G1154">
        <v>0</v>
      </c>
      <c r="H1154">
        <v>0</v>
      </c>
      <c r="I1154">
        <v>0</v>
      </c>
      <c r="J1154">
        <v>0</v>
      </c>
      <c r="K1154">
        <v>0</v>
      </c>
      <c r="L1154">
        <v>0</v>
      </c>
      <c r="M1154">
        <v>0</v>
      </c>
      <c r="N1154">
        <v>0</v>
      </c>
      <c r="O1154">
        <v>0</v>
      </c>
      <c r="P1154" s="5">
        <f t="shared" si="201"/>
        <v>0</v>
      </c>
      <c r="Q1154">
        <f t="shared" si="190"/>
        <v>0</v>
      </c>
      <c r="R1154">
        <f t="shared" si="191"/>
        <v>0</v>
      </c>
      <c r="S1154">
        <f t="shared" si="192"/>
        <v>0</v>
      </c>
      <c r="T1154">
        <f t="shared" si="193"/>
        <v>0</v>
      </c>
      <c r="U1154">
        <f t="shared" si="194"/>
        <v>0</v>
      </c>
      <c r="V1154">
        <f t="shared" si="195"/>
        <v>0</v>
      </c>
      <c r="W1154">
        <f t="shared" si="196"/>
        <v>0</v>
      </c>
      <c r="X1154">
        <f t="shared" si="197"/>
        <v>0</v>
      </c>
      <c r="Y1154">
        <f t="shared" si="198"/>
        <v>0</v>
      </c>
      <c r="Z1154">
        <f t="shared" si="199"/>
        <v>0</v>
      </c>
      <c r="AA1154" t="str">
        <f>INDEX('Priority activities'!$D$5:$D$86,MATCH('Database for analysis'!C1154,'Priority activities'!$C$5:$C$86,0))</f>
        <v>n/a</v>
      </c>
    </row>
    <row r="1155" spans="2:27" ht="16.5" thickTop="1" thickBot="1" x14ac:dyDescent="0.3">
      <c r="B1155" t="s">
        <v>727</v>
      </c>
      <c r="C1155" s="22" t="str">
        <f>'Costing inputs'!$C$516</f>
        <v>Train district focal points (SMC1.3)</v>
      </c>
      <c r="D1155" s="22" t="str">
        <f>'Costing inputs'!$U$516</f>
        <v>Districts</v>
      </c>
      <c r="E1155" s="22" t="str">
        <f>'Regional splits'!$C$14</f>
        <v>Central</v>
      </c>
      <c r="F1155">
        <f t="array" ref="F1155:O1170">'Costing inputs'!S516*'Costing inputs'!AP516:AY516*TRANSPOSE('Costing inputs'!W516:AL516)</f>
        <v>27822.165333333338</v>
      </c>
      <c r="G1155">
        <v>0</v>
      </c>
      <c r="H1155">
        <v>0</v>
      </c>
      <c r="I1155">
        <v>0</v>
      </c>
      <c r="J1155">
        <v>0</v>
      </c>
      <c r="K1155">
        <v>0</v>
      </c>
      <c r="L1155">
        <v>0</v>
      </c>
      <c r="M1155">
        <v>0</v>
      </c>
      <c r="N1155">
        <v>0</v>
      </c>
      <c r="O1155">
        <v>0</v>
      </c>
      <c r="P1155" s="5">
        <f t="shared" ref="P1155:P1170" si="202">SUMIF(F1155:O1155,"&lt;&gt;#N/A")</f>
        <v>27822.165333333338</v>
      </c>
      <c r="Q1155">
        <f t="shared" si="190"/>
        <v>27822.165333333338</v>
      </c>
      <c r="R1155">
        <f t="shared" si="191"/>
        <v>0</v>
      </c>
      <c r="S1155">
        <f t="shared" si="192"/>
        <v>0</v>
      </c>
      <c r="T1155">
        <f t="shared" si="193"/>
        <v>0</v>
      </c>
      <c r="U1155">
        <f t="shared" si="194"/>
        <v>0</v>
      </c>
      <c r="V1155">
        <f t="shared" si="195"/>
        <v>0</v>
      </c>
      <c r="W1155">
        <f t="shared" si="196"/>
        <v>0</v>
      </c>
      <c r="X1155">
        <f t="shared" si="197"/>
        <v>0</v>
      </c>
      <c r="Y1155">
        <f t="shared" si="198"/>
        <v>0</v>
      </c>
      <c r="Z1155">
        <f t="shared" si="199"/>
        <v>0</v>
      </c>
      <c r="AA1155" t="str">
        <f>INDEX('Priority activities'!$D$5:$D$86,MATCH('Database for analysis'!C1155,'Priority activities'!$C$5:$C$86,0))</f>
        <v>FP governance structure and program coordination</v>
      </c>
    </row>
    <row r="1156" spans="2:27" ht="16.5" thickTop="1" thickBot="1" x14ac:dyDescent="0.3">
      <c r="B1156" t="s">
        <v>727</v>
      </c>
      <c r="C1156" s="22" t="str">
        <f>'Costing inputs'!$C$516</f>
        <v>Train district focal points (SMC1.3)</v>
      </c>
      <c r="D1156" s="22" t="str">
        <f>'Costing inputs'!$U$516</f>
        <v>Districts</v>
      </c>
      <c r="E1156" s="22" t="str">
        <f>'Regional splits'!$D$14</f>
        <v>Copperbelt</v>
      </c>
      <c r="F1156">
        <v>46370.275555555563</v>
      </c>
      <c r="G1156">
        <v>0</v>
      </c>
      <c r="H1156">
        <v>0</v>
      </c>
      <c r="I1156">
        <v>0</v>
      </c>
      <c r="J1156">
        <v>0</v>
      </c>
      <c r="K1156">
        <v>0</v>
      </c>
      <c r="L1156">
        <v>0</v>
      </c>
      <c r="M1156">
        <v>0</v>
      </c>
      <c r="N1156">
        <v>0</v>
      </c>
      <c r="O1156">
        <v>0</v>
      </c>
      <c r="P1156" s="5">
        <f t="shared" si="202"/>
        <v>46370.275555555563</v>
      </c>
      <c r="Q1156">
        <f t="shared" ref="Q1156:Q1219" si="203">IF(ISNA(F1156),0,F1156)</f>
        <v>46370.275555555563</v>
      </c>
      <c r="R1156">
        <f t="shared" ref="R1156:R1219" si="204">IF(ISNA(G1156),0,G1156)</f>
        <v>0</v>
      </c>
      <c r="S1156">
        <f t="shared" ref="S1156:S1219" si="205">IF(ISNA(H1156),0,H1156)</f>
        <v>0</v>
      </c>
      <c r="T1156">
        <f t="shared" ref="T1156:T1219" si="206">IF(ISNA(I1156),0,I1156)</f>
        <v>0</v>
      </c>
      <c r="U1156">
        <f t="shared" ref="U1156:U1219" si="207">IF(ISNA(J1156),0,J1156)</f>
        <v>0</v>
      </c>
      <c r="V1156">
        <f t="shared" ref="V1156:V1219" si="208">IF(ISNA(K1156),0,K1156)</f>
        <v>0</v>
      </c>
      <c r="W1156">
        <f t="shared" ref="W1156:W1219" si="209">IF(ISNA(L1156),0,L1156)</f>
        <v>0</v>
      </c>
      <c r="X1156">
        <f t="shared" ref="X1156:X1219" si="210">IF(ISNA(M1156),0,M1156)</f>
        <v>0</v>
      </c>
      <c r="Y1156">
        <f t="shared" ref="Y1156:Y1219" si="211">IF(ISNA(N1156),0,N1156)</f>
        <v>0</v>
      </c>
      <c r="Z1156">
        <f t="shared" ref="Z1156:Z1219" si="212">IF(ISNA(O1156),0,O1156)</f>
        <v>0</v>
      </c>
      <c r="AA1156" t="str">
        <f>INDEX('Priority activities'!$D$5:$D$86,MATCH('Database for analysis'!C1156,'Priority activities'!$C$5:$C$86,0))</f>
        <v>FP governance structure and program coordination</v>
      </c>
    </row>
    <row r="1157" spans="2:27" ht="16.5" thickTop="1" thickBot="1" x14ac:dyDescent="0.3">
      <c r="B1157" t="s">
        <v>727</v>
      </c>
      <c r="C1157" s="22" t="str">
        <f>'Costing inputs'!$C$516</f>
        <v>Train district focal points (SMC1.3)</v>
      </c>
      <c r="D1157" s="22" t="str">
        <f>'Costing inputs'!$U$516</f>
        <v>Districts</v>
      </c>
      <c r="E1157" s="22" t="str">
        <f>'Regional splits'!$E$14</f>
        <v>Eastern</v>
      </c>
      <c r="F1157">
        <v>32459.192888888894</v>
      </c>
      <c r="G1157">
        <v>0</v>
      </c>
      <c r="H1157">
        <v>0</v>
      </c>
      <c r="I1157">
        <v>0</v>
      </c>
      <c r="J1157">
        <v>0</v>
      </c>
      <c r="K1157">
        <v>0</v>
      </c>
      <c r="L1157">
        <v>0</v>
      </c>
      <c r="M1157">
        <v>0</v>
      </c>
      <c r="N1157">
        <v>0</v>
      </c>
      <c r="O1157">
        <v>0</v>
      </c>
      <c r="P1157" s="5">
        <f t="shared" si="202"/>
        <v>32459.192888888894</v>
      </c>
      <c r="Q1157">
        <f t="shared" si="203"/>
        <v>32459.192888888894</v>
      </c>
      <c r="R1157">
        <f t="shared" si="204"/>
        <v>0</v>
      </c>
      <c r="S1157">
        <f t="shared" si="205"/>
        <v>0</v>
      </c>
      <c r="T1157">
        <f t="shared" si="206"/>
        <v>0</v>
      </c>
      <c r="U1157">
        <f t="shared" si="207"/>
        <v>0</v>
      </c>
      <c r="V1157">
        <f t="shared" si="208"/>
        <v>0</v>
      </c>
      <c r="W1157">
        <f t="shared" si="209"/>
        <v>0</v>
      </c>
      <c r="X1157">
        <f t="shared" si="210"/>
        <v>0</v>
      </c>
      <c r="Y1157">
        <f t="shared" si="211"/>
        <v>0</v>
      </c>
      <c r="Z1157">
        <f t="shared" si="212"/>
        <v>0</v>
      </c>
      <c r="AA1157" t="str">
        <f>INDEX('Priority activities'!$D$5:$D$86,MATCH('Database for analysis'!C1157,'Priority activities'!$C$5:$C$86,0))</f>
        <v>FP governance structure and program coordination</v>
      </c>
    </row>
    <row r="1158" spans="2:27" ht="16.5" thickTop="1" thickBot="1" x14ac:dyDescent="0.3">
      <c r="B1158" t="s">
        <v>727</v>
      </c>
      <c r="C1158" s="22" t="str">
        <f>'Costing inputs'!$C$516</f>
        <v>Train district focal points (SMC1.3)</v>
      </c>
      <c r="D1158" s="22" t="str">
        <f>'Costing inputs'!$U$516</f>
        <v>Districts</v>
      </c>
      <c r="E1158" s="22" t="str">
        <f>'Regional splits'!$F$14</f>
        <v>Luapula</v>
      </c>
      <c r="F1158">
        <v>32459.192888888894</v>
      </c>
      <c r="G1158">
        <v>0</v>
      </c>
      <c r="H1158">
        <v>0</v>
      </c>
      <c r="I1158">
        <v>0</v>
      </c>
      <c r="J1158">
        <v>0</v>
      </c>
      <c r="K1158">
        <v>0</v>
      </c>
      <c r="L1158">
        <v>0</v>
      </c>
      <c r="M1158">
        <v>0</v>
      </c>
      <c r="N1158">
        <v>0</v>
      </c>
      <c r="O1158">
        <v>0</v>
      </c>
      <c r="P1158" s="5">
        <f t="shared" si="202"/>
        <v>32459.192888888894</v>
      </c>
      <c r="Q1158">
        <f t="shared" si="203"/>
        <v>32459.192888888894</v>
      </c>
      <c r="R1158">
        <f t="shared" si="204"/>
        <v>0</v>
      </c>
      <c r="S1158">
        <f t="shared" si="205"/>
        <v>0</v>
      </c>
      <c r="T1158">
        <f t="shared" si="206"/>
        <v>0</v>
      </c>
      <c r="U1158">
        <f t="shared" si="207"/>
        <v>0</v>
      </c>
      <c r="V1158">
        <f t="shared" si="208"/>
        <v>0</v>
      </c>
      <c r="W1158">
        <f t="shared" si="209"/>
        <v>0</v>
      </c>
      <c r="X1158">
        <f t="shared" si="210"/>
        <v>0</v>
      </c>
      <c r="Y1158">
        <f t="shared" si="211"/>
        <v>0</v>
      </c>
      <c r="Z1158">
        <f t="shared" si="212"/>
        <v>0</v>
      </c>
      <c r="AA1158" t="str">
        <f>INDEX('Priority activities'!$D$5:$D$86,MATCH('Database for analysis'!C1158,'Priority activities'!$C$5:$C$86,0))</f>
        <v>FP governance structure and program coordination</v>
      </c>
    </row>
    <row r="1159" spans="2:27" ht="16.5" thickTop="1" thickBot="1" x14ac:dyDescent="0.3">
      <c r="B1159" t="s">
        <v>727</v>
      </c>
      <c r="C1159" s="22" t="str">
        <f>'Costing inputs'!$C$516</f>
        <v>Train district focal points (SMC1.3)</v>
      </c>
      <c r="D1159" s="22" t="str">
        <f>'Costing inputs'!$U$516</f>
        <v>Districts</v>
      </c>
      <c r="E1159" s="22" t="str">
        <f>'Regional splits'!$G$14</f>
        <v>Lusaka</v>
      </c>
      <c r="F1159">
        <v>18548.110222222225</v>
      </c>
      <c r="G1159">
        <v>0</v>
      </c>
      <c r="H1159">
        <v>0</v>
      </c>
      <c r="I1159">
        <v>0</v>
      </c>
      <c r="J1159">
        <v>0</v>
      </c>
      <c r="K1159">
        <v>0</v>
      </c>
      <c r="L1159">
        <v>0</v>
      </c>
      <c r="M1159">
        <v>0</v>
      </c>
      <c r="N1159">
        <v>0</v>
      </c>
      <c r="O1159">
        <v>0</v>
      </c>
      <c r="P1159" s="5">
        <f t="shared" si="202"/>
        <v>18548.110222222225</v>
      </c>
      <c r="Q1159">
        <f t="shared" si="203"/>
        <v>18548.110222222225</v>
      </c>
      <c r="R1159">
        <f t="shared" si="204"/>
        <v>0</v>
      </c>
      <c r="S1159">
        <f t="shared" si="205"/>
        <v>0</v>
      </c>
      <c r="T1159">
        <f t="shared" si="206"/>
        <v>0</v>
      </c>
      <c r="U1159">
        <f t="shared" si="207"/>
        <v>0</v>
      </c>
      <c r="V1159">
        <f t="shared" si="208"/>
        <v>0</v>
      </c>
      <c r="W1159">
        <f t="shared" si="209"/>
        <v>0</v>
      </c>
      <c r="X1159">
        <f t="shared" si="210"/>
        <v>0</v>
      </c>
      <c r="Y1159">
        <f t="shared" si="211"/>
        <v>0</v>
      </c>
      <c r="Z1159">
        <f t="shared" si="212"/>
        <v>0</v>
      </c>
      <c r="AA1159" t="str">
        <f>INDEX('Priority activities'!$D$5:$D$86,MATCH('Database for analysis'!C1159,'Priority activities'!$C$5:$C$86,0))</f>
        <v>FP governance structure and program coordination</v>
      </c>
    </row>
    <row r="1160" spans="2:27" ht="16.5" thickTop="1" thickBot="1" x14ac:dyDescent="0.3">
      <c r="B1160" t="s">
        <v>727</v>
      </c>
      <c r="C1160" s="22" t="str">
        <f>'Costing inputs'!$C$516</f>
        <v>Train district focal points (SMC1.3)</v>
      </c>
      <c r="D1160" s="22" t="str">
        <f>'Costing inputs'!$U$516</f>
        <v>Districts</v>
      </c>
      <c r="E1160" s="22" t="str">
        <f>'Regional splits'!$H$14</f>
        <v>Muchinga</v>
      </c>
      <c r="F1160">
        <v>23185.137777777782</v>
      </c>
      <c r="G1160">
        <v>0</v>
      </c>
      <c r="H1160">
        <v>0</v>
      </c>
      <c r="I1160">
        <v>0</v>
      </c>
      <c r="J1160">
        <v>0</v>
      </c>
      <c r="K1160">
        <v>0</v>
      </c>
      <c r="L1160">
        <v>0</v>
      </c>
      <c r="M1160">
        <v>0</v>
      </c>
      <c r="N1160">
        <v>0</v>
      </c>
      <c r="O1160">
        <v>0</v>
      </c>
      <c r="P1160" s="5">
        <f t="shared" si="202"/>
        <v>23185.137777777782</v>
      </c>
      <c r="Q1160">
        <f t="shared" si="203"/>
        <v>23185.137777777782</v>
      </c>
      <c r="R1160">
        <f t="shared" si="204"/>
        <v>0</v>
      </c>
      <c r="S1160">
        <f t="shared" si="205"/>
        <v>0</v>
      </c>
      <c r="T1160">
        <f t="shared" si="206"/>
        <v>0</v>
      </c>
      <c r="U1160">
        <f t="shared" si="207"/>
        <v>0</v>
      </c>
      <c r="V1160">
        <f t="shared" si="208"/>
        <v>0</v>
      </c>
      <c r="W1160">
        <f t="shared" si="209"/>
        <v>0</v>
      </c>
      <c r="X1160">
        <f t="shared" si="210"/>
        <v>0</v>
      </c>
      <c r="Y1160">
        <f t="shared" si="211"/>
        <v>0</v>
      </c>
      <c r="Z1160">
        <f t="shared" si="212"/>
        <v>0</v>
      </c>
      <c r="AA1160" t="str">
        <f>INDEX('Priority activities'!$D$5:$D$86,MATCH('Database for analysis'!C1160,'Priority activities'!$C$5:$C$86,0))</f>
        <v>FP governance structure and program coordination</v>
      </c>
    </row>
    <row r="1161" spans="2:27" ht="16.5" thickTop="1" thickBot="1" x14ac:dyDescent="0.3">
      <c r="B1161" t="s">
        <v>727</v>
      </c>
      <c r="C1161" s="22" t="str">
        <f>'Costing inputs'!$C$516</f>
        <v>Train district focal points (SMC1.3)</v>
      </c>
      <c r="D1161" s="22" t="str">
        <f>'Costing inputs'!$U$516</f>
        <v>Districts</v>
      </c>
      <c r="E1161" s="22" t="str">
        <f>'Regional splits'!$I$14</f>
        <v>Northern</v>
      </c>
      <c r="F1161">
        <v>37096.220444444451</v>
      </c>
      <c r="G1161">
        <v>0</v>
      </c>
      <c r="H1161">
        <v>0</v>
      </c>
      <c r="I1161">
        <v>0</v>
      </c>
      <c r="J1161">
        <v>0</v>
      </c>
      <c r="K1161">
        <v>0</v>
      </c>
      <c r="L1161">
        <v>0</v>
      </c>
      <c r="M1161">
        <v>0</v>
      </c>
      <c r="N1161">
        <v>0</v>
      </c>
      <c r="O1161">
        <v>0</v>
      </c>
      <c r="P1161" s="5">
        <f t="shared" si="202"/>
        <v>37096.220444444451</v>
      </c>
      <c r="Q1161">
        <f t="shared" si="203"/>
        <v>37096.220444444451</v>
      </c>
      <c r="R1161">
        <f t="shared" si="204"/>
        <v>0</v>
      </c>
      <c r="S1161">
        <f t="shared" si="205"/>
        <v>0</v>
      </c>
      <c r="T1161">
        <f t="shared" si="206"/>
        <v>0</v>
      </c>
      <c r="U1161">
        <f t="shared" si="207"/>
        <v>0</v>
      </c>
      <c r="V1161">
        <f t="shared" si="208"/>
        <v>0</v>
      </c>
      <c r="W1161">
        <f t="shared" si="209"/>
        <v>0</v>
      </c>
      <c r="X1161">
        <f t="shared" si="210"/>
        <v>0</v>
      </c>
      <c r="Y1161">
        <f t="shared" si="211"/>
        <v>0</v>
      </c>
      <c r="Z1161">
        <f t="shared" si="212"/>
        <v>0</v>
      </c>
      <c r="AA1161" t="str">
        <f>INDEX('Priority activities'!$D$5:$D$86,MATCH('Database for analysis'!C1161,'Priority activities'!$C$5:$C$86,0))</f>
        <v>FP governance structure and program coordination</v>
      </c>
    </row>
    <row r="1162" spans="2:27" ht="16.5" thickTop="1" thickBot="1" x14ac:dyDescent="0.3">
      <c r="B1162" t="s">
        <v>727</v>
      </c>
      <c r="C1162" s="22" t="str">
        <f>'Costing inputs'!$C$516</f>
        <v>Train district focal points (SMC1.3)</v>
      </c>
      <c r="D1162" s="22" t="str">
        <f>'Costing inputs'!$U$516</f>
        <v>Districts</v>
      </c>
      <c r="E1162" s="22" t="str">
        <f>'Regional splits'!$J$14</f>
        <v>North Western</v>
      </c>
      <c r="F1162">
        <v>32459.192888888894</v>
      </c>
      <c r="G1162">
        <v>0</v>
      </c>
      <c r="H1162">
        <v>0</v>
      </c>
      <c r="I1162">
        <v>0</v>
      </c>
      <c r="J1162">
        <v>0</v>
      </c>
      <c r="K1162">
        <v>0</v>
      </c>
      <c r="L1162">
        <v>0</v>
      </c>
      <c r="M1162">
        <v>0</v>
      </c>
      <c r="N1162">
        <v>0</v>
      </c>
      <c r="O1162">
        <v>0</v>
      </c>
      <c r="P1162" s="5">
        <f t="shared" si="202"/>
        <v>32459.192888888894</v>
      </c>
      <c r="Q1162">
        <f t="shared" si="203"/>
        <v>32459.192888888894</v>
      </c>
      <c r="R1162">
        <f t="shared" si="204"/>
        <v>0</v>
      </c>
      <c r="S1162">
        <f t="shared" si="205"/>
        <v>0</v>
      </c>
      <c r="T1162">
        <f t="shared" si="206"/>
        <v>0</v>
      </c>
      <c r="U1162">
        <f t="shared" si="207"/>
        <v>0</v>
      </c>
      <c r="V1162">
        <f t="shared" si="208"/>
        <v>0</v>
      </c>
      <c r="W1162">
        <f t="shared" si="209"/>
        <v>0</v>
      </c>
      <c r="X1162">
        <f t="shared" si="210"/>
        <v>0</v>
      </c>
      <c r="Y1162">
        <f t="shared" si="211"/>
        <v>0</v>
      </c>
      <c r="Z1162">
        <f t="shared" si="212"/>
        <v>0</v>
      </c>
      <c r="AA1162" t="str">
        <f>INDEX('Priority activities'!$D$5:$D$86,MATCH('Database for analysis'!C1162,'Priority activities'!$C$5:$C$86,0))</f>
        <v>FP governance structure and program coordination</v>
      </c>
    </row>
    <row r="1163" spans="2:27" ht="16.5" thickTop="1" thickBot="1" x14ac:dyDescent="0.3">
      <c r="B1163" t="s">
        <v>727</v>
      </c>
      <c r="C1163" s="22" t="str">
        <f>'Costing inputs'!$C$516</f>
        <v>Train district focal points (SMC1.3)</v>
      </c>
      <c r="D1163" s="22" t="str">
        <f>'Costing inputs'!$U$516</f>
        <v>Districts</v>
      </c>
      <c r="E1163" s="22" t="str">
        <f>'Regional splits'!$K$14</f>
        <v>Southern</v>
      </c>
      <c r="F1163">
        <v>51007.303111111127</v>
      </c>
      <c r="G1163">
        <v>0</v>
      </c>
      <c r="H1163">
        <v>0</v>
      </c>
      <c r="I1163">
        <v>0</v>
      </c>
      <c r="J1163">
        <v>0</v>
      </c>
      <c r="K1163">
        <v>0</v>
      </c>
      <c r="L1163">
        <v>0</v>
      </c>
      <c r="M1163">
        <v>0</v>
      </c>
      <c r="N1163">
        <v>0</v>
      </c>
      <c r="O1163">
        <v>0</v>
      </c>
      <c r="P1163" s="5">
        <f t="shared" si="202"/>
        <v>51007.303111111127</v>
      </c>
      <c r="Q1163">
        <f t="shared" si="203"/>
        <v>51007.303111111127</v>
      </c>
      <c r="R1163">
        <f t="shared" si="204"/>
        <v>0</v>
      </c>
      <c r="S1163">
        <f t="shared" si="205"/>
        <v>0</v>
      </c>
      <c r="T1163">
        <f t="shared" si="206"/>
        <v>0</v>
      </c>
      <c r="U1163">
        <f t="shared" si="207"/>
        <v>0</v>
      </c>
      <c r="V1163">
        <f t="shared" si="208"/>
        <v>0</v>
      </c>
      <c r="W1163">
        <f t="shared" si="209"/>
        <v>0</v>
      </c>
      <c r="X1163">
        <f t="shared" si="210"/>
        <v>0</v>
      </c>
      <c r="Y1163">
        <f t="shared" si="211"/>
        <v>0</v>
      </c>
      <c r="Z1163">
        <f t="shared" si="212"/>
        <v>0</v>
      </c>
      <c r="AA1163" t="str">
        <f>INDEX('Priority activities'!$D$5:$D$86,MATCH('Database for analysis'!C1163,'Priority activities'!$C$5:$C$86,0))</f>
        <v>FP governance structure and program coordination</v>
      </c>
    </row>
    <row r="1164" spans="2:27" ht="16.5" thickTop="1" thickBot="1" x14ac:dyDescent="0.3">
      <c r="B1164" t="s">
        <v>727</v>
      </c>
      <c r="C1164" s="22" t="str">
        <f>'Costing inputs'!$C$516</f>
        <v>Train district focal points (SMC1.3)</v>
      </c>
      <c r="D1164" s="22" t="str">
        <f>'Costing inputs'!$U$516</f>
        <v>Districts</v>
      </c>
      <c r="E1164" s="22" t="str">
        <f>'Regional splits'!$L$14</f>
        <v>Western</v>
      </c>
      <c r="F1164">
        <v>32459.192888888894</v>
      </c>
      <c r="G1164">
        <v>0</v>
      </c>
      <c r="H1164">
        <v>0</v>
      </c>
      <c r="I1164">
        <v>0</v>
      </c>
      <c r="J1164">
        <v>0</v>
      </c>
      <c r="K1164">
        <v>0</v>
      </c>
      <c r="L1164">
        <v>0</v>
      </c>
      <c r="M1164">
        <v>0</v>
      </c>
      <c r="N1164">
        <v>0</v>
      </c>
      <c r="O1164">
        <v>0</v>
      </c>
      <c r="P1164" s="5">
        <f t="shared" si="202"/>
        <v>32459.192888888894</v>
      </c>
      <c r="Q1164">
        <f t="shared" si="203"/>
        <v>32459.192888888894</v>
      </c>
      <c r="R1164">
        <f t="shared" si="204"/>
        <v>0</v>
      </c>
      <c r="S1164">
        <f t="shared" si="205"/>
        <v>0</v>
      </c>
      <c r="T1164">
        <f t="shared" si="206"/>
        <v>0</v>
      </c>
      <c r="U1164">
        <f t="shared" si="207"/>
        <v>0</v>
      </c>
      <c r="V1164">
        <f t="shared" si="208"/>
        <v>0</v>
      </c>
      <c r="W1164">
        <f t="shared" si="209"/>
        <v>0</v>
      </c>
      <c r="X1164">
        <f t="shared" si="210"/>
        <v>0</v>
      </c>
      <c r="Y1164">
        <f t="shared" si="211"/>
        <v>0</v>
      </c>
      <c r="Z1164">
        <f t="shared" si="212"/>
        <v>0</v>
      </c>
      <c r="AA1164" t="str">
        <f>INDEX('Priority activities'!$D$5:$D$86,MATCH('Database for analysis'!C1164,'Priority activities'!$C$5:$C$86,0))</f>
        <v>FP governance structure and program coordination</v>
      </c>
    </row>
    <row r="1165" spans="2:27" ht="16.5" thickTop="1" thickBot="1" x14ac:dyDescent="0.3">
      <c r="B1165" t="s">
        <v>727</v>
      </c>
      <c r="C1165" s="22" t="str">
        <f>'Costing inputs'!$C$516</f>
        <v>Train district focal points (SMC1.3)</v>
      </c>
      <c r="D1165" s="22" t="str">
        <f>'Costing inputs'!$U$516</f>
        <v>Districts</v>
      </c>
      <c r="E1165" s="22">
        <f>'Regional splits'!$M$14</f>
        <v>0</v>
      </c>
      <c r="F1165">
        <v>0</v>
      </c>
      <c r="G1165">
        <v>0</v>
      </c>
      <c r="H1165">
        <v>0</v>
      </c>
      <c r="I1165">
        <v>0</v>
      </c>
      <c r="J1165">
        <v>0</v>
      </c>
      <c r="K1165">
        <v>0</v>
      </c>
      <c r="L1165">
        <v>0</v>
      </c>
      <c r="M1165">
        <v>0</v>
      </c>
      <c r="N1165">
        <v>0</v>
      </c>
      <c r="O1165">
        <v>0</v>
      </c>
      <c r="P1165" s="5">
        <f t="shared" si="202"/>
        <v>0</v>
      </c>
      <c r="Q1165">
        <f t="shared" si="203"/>
        <v>0</v>
      </c>
      <c r="R1165">
        <f t="shared" si="204"/>
        <v>0</v>
      </c>
      <c r="S1165">
        <f t="shared" si="205"/>
        <v>0</v>
      </c>
      <c r="T1165">
        <f t="shared" si="206"/>
        <v>0</v>
      </c>
      <c r="U1165">
        <f t="shared" si="207"/>
        <v>0</v>
      </c>
      <c r="V1165">
        <f t="shared" si="208"/>
        <v>0</v>
      </c>
      <c r="W1165">
        <f t="shared" si="209"/>
        <v>0</v>
      </c>
      <c r="X1165">
        <f t="shared" si="210"/>
        <v>0</v>
      </c>
      <c r="Y1165">
        <f t="shared" si="211"/>
        <v>0</v>
      </c>
      <c r="Z1165">
        <f t="shared" si="212"/>
        <v>0</v>
      </c>
      <c r="AA1165" t="str">
        <f>INDEX('Priority activities'!$D$5:$D$86,MATCH('Database for analysis'!C1165,'Priority activities'!$C$5:$C$86,0))</f>
        <v>FP governance structure and program coordination</v>
      </c>
    </row>
    <row r="1166" spans="2:27" ht="16.5" thickTop="1" thickBot="1" x14ac:dyDescent="0.3">
      <c r="B1166" t="s">
        <v>727</v>
      </c>
      <c r="C1166" s="22" t="str">
        <f>'Costing inputs'!$C$516</f>
        <v>Train district focal points (SMC1.3)</v>
      </c>
      <c r="D1166" s="22" t="str">
        <f>'Costing inputs'!$U$516</f>
        <v>Districts</v>
      </c>
      <c r="E1166" s="22">
        <f>'Regional splits'!$N$14</f>
        <v>0</v>
      </c>
      <c r="F1166">
        <v>0</v>
      </c>
      <c r="G1166">
        <v>0</v>
      </c>
      <c r="H1166">
        <v>0</v>
      </c>
      <c r="I1166">
        <v>0</v>
      </c>
      <c r="J1166">
        <v>0</v>
      </c>
      <c r="K1166">
        <v>0</v>
      </c>
      <c r="L1166">
        <v>0</v>
      </c>
      <c r="M1166">
        <v>0</v>
      </c>
      <c r="N1166">
        <v>0</v>
      </c>
      <c r="O1166">
        <v>0</v>
      </c>
      <c r="P1166" s="5">
        <f t="shared" si="202"/>
        <v>0</v>
      </c>
      <c r="Q1166">
        <f t="shared" si="203"/>
        <v>0</v>
      </c>
      <c r="R1166">
        <f t="shared" si="204"/>
        <v>0</v>
      </c>
      <c r="S1166">
        <f t="shared" si="205"/>
        <v>0</v>
      </c>
      <c r="T1166">
        <f t="shared" si="206"/>
        <v>0</v>
      </c>
      <c r="U1166">
        <f t="shared" si="207"/>
        <v>0</v>
      </c>
      <c r="V1166">
        <f t="shared" si="208"/>
        <v>0</v>
      </c>
      <c r="W1166">
        <f t="shared" si="209"/>
        <v>0</v>
      </c>
      <c r="X1166">
        <f t="shared" si="210"/>
        <v>0</v>
      </c>
      <c r="Y1166">
        <f t="shared" si="211"/>
        <v>0</v>
      </c>
      <c r="Z1166">
        <f t="shared" si="212"/>
        <v>0</v>
      </c>
      <c r="AA1166" t="str">
        <f>INDEX('Priority activities'!$D$5:$D$86,MATCH('Database for analysis'!C1166,'Priority activities'!$C$5:$C$86,0))</f>
        <v>FP governance structure and program coordination</v>
      </c>
    </row>
    <row r="1167" spans="2:27" ht="16.5" thickTop="1" thickBot="1" x14ac:dyDescent="0.3">
      <c r="B1167" t="s">
        <v>727</v>
      </c>
      <c r="C1167" s="22" t="str">
        <f>'Costing inputs'!$C$516</f>
        <v>Train district focal points (SMC1.3)</v>
      </c>
      <c r="D1167" s="22" t="str">
        <f>'Costing inputs'!$U$516</f>
        <v>Districts</v>
      </c>
      <c r="E1167" s="22">
        <f>'Regional splits'!$O$14</f>
        <v>0</v>
      </c>
      <c r="F1167">
        <v>0</v>
      </c>
      <c r="G1167">
        <v>0</v>
      </c>
      <c r="H1167">
        <v>0</v>
      </c>
      <c r="I1167">
        <v>0</v>
      </c>
      <c r="J1167">
        <v>0</v>
      </c>
      <c r="K1167">
        <v>0</v>
      </c>
      <c r="L1167">
        <v>0</v>
      </c>
      <c r="M1167">
        <v>0</v>
      </c>
      <c r="N1167">
        <v>0</v>
      </c>
      <c r="O1167">
        <v>0</v>
      </c>
      <c r="P1167" s="5">
        <f t="shared" si="202"/>
        <v>0</v>
      </c>
      <c r="Q1167">
        <f t="shared" si="203"/>
        <v>0</v>
      </c>
      <c r="R1167">
        <f t="shared" si="204"/>
        <v>0</v>
      </c>
      <c r="S1167">
        <f t="shared" si="205"/>
        <v>0</v>
      </c>
      <c r="T1167">
        <f t="shared" si="206"/>
        <v>0</v>
      </c>
      <c r="U1167">
        <f t="shared" si="207"/>
        <v>0</v>
      </c>
      <c r="V1167">
        <f t="shared" si="208"/>
        <v>0</v>
      </c>
      <c r="W1167">
        <f t="shared" si="209"/>
        <v>0</v>
      </c>
      <c r="X1167">
        <f t="shared" si="210"/>
        <v>0</v>
      </c>
      <c r="Y1167">
        <f t="shared" si="211"/>
        <v>0</v>
      </c>
      <c r="Z1167">
        <f t="shared" si="212"/>
        <v>0</v>
      </c>
      <c r="AA1167" t="str">
        <f>INDEX('Priority activities'!$D$5:$D$86,MATCH('Database for analysis'!C1167,'Priority activities'!$C$5:$C$86,0))</f>
        <v>FP governance structure and program coordination</v>
      </c>
    </row>
    <row r="1168" spans="2:27" ht="16.5" thickTop="1" thickBot="1" x14ac:dyDescent="0.3">
      <c r="B1168" t="s">
        <v>727</v>
      </c>
      <c r="C1168" s="22" t="str">
        <f>'Costing inputs'!$C$516</f>
        <v>Train district focal points (SMC1.3)</v>
      </c>
      <c r="D1168" s="22" t="str">
        <f>'Costing inputs'!$U$516</f>
        <v>Districts</v>
      </c>
      <c r="E1168" s="22">
        <f>'Regional splits'!$P$14</f>
        <v>0</v>
      </c>
      <c r="F1168">
        <v>0</v>
      </c>
      <c r="G1168">
        <v>0</v>
      </c>
      <c r="H1168">
        <v>0</v>
      </c>
      <c r="I1168">
        <v>0</v>
      </c>
      <c r="J1168">
        <v>0</v>
      </c>
      <c r="K1168">
        <v>0</v>
      </c>
      <c r="L1168">
        <v>0</v>
      </c>
      <c r="M1168">
        <v>0</v>
      </c>
      <c r="N1168">
        <v>0</v>
      </c>
      <c r="O1168">
        <v>0</v>
      </c>
      <c r="P1168" s="5">
        <f t="shared" si="202"/>
        <v>0</v>
      </c>
      <c r="Q1168">
        <f t="shared" si="203"/>
        <v>0</v>
      </c>
      <c r="R1168">
        <f t="shared" si="204"/>
        <v>0</v>
      </c>
      <c r="S1168">
        <f t="shared" si="205"/>
        <v>0</v>
      </c>
      <c r="T1168">
        <f t="shared" si="206"/>
        <v>0</v>
      </c>
      <c r="U1168">
        <f t="shared" si="207"/>
        <v>0</v>
      </c>
      <c r="V1168">
        <f t="shared" si="208"/>
        <v>0</v>
      </c>
      <c r="W1168">
        <f t="shared" si="209"/>
        <v>0</v>
      </c>
      <c r="X1168">
        <f t="shared" si="210"/>
        <v>0</v>
      </c>
      <c r="Y1168">
        <f t="shared" si="211"/>
        <v>0</v>
      </c>
      <c r="Z1168">
        <f t="shared" si="212"/>
        <v>0</v>
      </c>
      <c r="AA1168" t="str">
        <f>INDEX('Priority activities'!$D$5:$D$86,MATCH('Database for analysis'!C1168,'Priority activities'!$C$5:$C$86,0))</f>
        <v>FP governance structure and program coordination</v>
      </c>
    </row>
    <row r="1169" spans="2:27" ht="16.5" thickTop="1" thickBot="1" x14ac:dyDescent="0.3">
      <c r="B1169" t="s">
        <v>727</v>
      </c>
      <c r="C1169" s="22" t="str">
        <f>'Costing inputs'!$C$516</f>
        <v>Train district focal points (SMC1.3)</v>
      </c>
      <c r="D1169" s="22" t="str">
        <f>'Costing inputs'!$U$516</f>
        <v>Districts</v>
      </c>
      <c r="E1169" s="22">
        <f>'Regional splits'!$Q$14</f>
        <v>0</v>
      </c>
      <c r="F1169">
        <v>0</v>
      </c>
      <c r="G1169">
        <v>0</v>
      </c>
      <c r="H1169">
        <v>0</v>
      </c>
      <c r="I1169">
        <v>0</v>
      </c>
      <c r="J1169">
        <v>0</v>
      </c>
      <c r="K1169">
        <v>0</v>
      </c>
      <c r="L1169">
        <v>0</v>
      </c>
      <c r="M1169">
        <v>0</v>
      </c>
      <c r="N1169">
        <v>0</v>
      </c>
      <c r="O1169">
        <v>0</v>
      </c>
      <c r="P1169" s="5">
        <f t="shared" si="202"/>
        <v>0</v>
      </c>
      <c r="Q1169">
        <f t="shared" si="203"/>
        <v>0</v>
      </c>
      <c r="R1169">
        <f t="shared" si="204"/>
        <v>0</v>
      </c>
      <c r="S1169">
        <f t="shared" si="205"/>
        <v>0</v>
      </c>
      <c r="T1169">
        <f t="shared" si="206"/>
        <v>0</v>
      </c>
      <c r="U1169">
        <f t="shared" si="207"/>
        <v>0</v>
      </c>
      <c r="V1169">
        <f t="shared" si="208"/>
        <v>0</v>
      </c>
      <c r="W1169">
        <f t="shared" si="209"/>
        <v>0</v>
      </c>
      <c r="X1169">
        <f t="shared" si="210"/>
        <v>0</v>
      </c>
      <c r="Y1169">
        <f t="shared" si="211"/>
        <v>0</v>
      </c>
      <c r="Z1169">
        <f t="shared" si="212"/>
        <v>0</v>
      </c>
      <c r="AA1169" t="str">
        <f>INDEX('Priority activities'!$D$5:$D$86,MATCH('Database for analysis'!C1169,'Priority activities'!$C$5:$C$86,0))</f>
        <v>FP governance structure and program coordination</v>
      </c>
    </row>
    <row r="1170" spans="2:27" ht="16.5" thickTop="1" thickBot="1" x14ac:dyDescent="0.3">
      <c r="B1170" t="s">
        <v>727</v>
      </c>
      <c r="C1170" s="22" t="str">
        <f>'Costing inputs'!$C$516</f>
        <v>Train district focal points (SMC1.3)</v>
      </c>
      <c r="D1170" s="22" t="str">
        <f>'Costing inputs'!$U$516</f>
        <v>Districts</v>
      </c>
      <c r="E1170" s="22" t="str">
        <f>'Regional splits'!$R$14</f>
        <v>National-level</v>
      </c>
      <c r="F1170">
        <v>0</v>
      </c>
      <c r="G1170">
        <v>0</v>
      </c>
      <c r="H1170">
        <v>0</v>
      </c>
      <c r="I1170">
        <v>0</v>
      </c>
      <c r="J1170">
        <v>0</v>
      </c>
      <c r="K1170">
        <v>0</v>
      </c>
      <c r="L1170">
        <v>0</v>
      </c>
      <c r="M1170">
        <v>0</v>
      </c>
      <c r="N1170">
        <v>0</v>
      </c>
      <c r="O1170">
        <v>0</v>
      </c>
      <c r="P1170" s="5">
        <f t="shared" si="202"/>
        <v>0</v>
      </c>
      <c r="Q1170">
        <f t="shared" si="203"/>
        <v>0</v>
      </c>
      <c r="R1170">
        <f t="shared" si="204"/>
        <v>0</v>
      </c>
      <c r="S1170">
        <f t="shared" si="205"/>
        <v>0</v>
      </c>
      <c r="T1170">
        <f t="shared" si="206"/>
        <v>0</v>
      </c>
      <c r="U1170">
        <f t="shared" si="207"/>
        <v>0</v>
      </c>
      <c r="V1170">
        <f t="shared" si="208"/>
        <v>0</v>
      </c>
      <c r="W1170">
        <f t="shared" si="209"/>
        <v>0</v>
      </c>
      <c r="X1170">
        <f t="shared" si="210"/>
        <v>0</v>
      </c>
      <c r="Y1170">
        <f t="shared" si="211"/>
        <v>0</v>
      </c>
      <c r="Z1170">
        <f t="shared" si="212"/>
        <v>0</v>
      </c>
      <c r="AA1170" t="str">
        <f>INDEX('Priority activities'!$D$5:$D$86,MATCH('Database for analysis'!C1170,'Priority activities'!$C$5:$C$86,0))</f>
        <v>FP governance structure and program coordination</v>
      </c>
    </row>
    <row r="1171" spans="2:27" ht="16.5" thickTop="1" thickBot="1" x14ac:dyDescent="0.3">
      <c r="B1171" t="s">
        <v>727</v>
      </c>
      <c r="C1171" s="22" t="str">
        <f>'Costing inputs'!$C$520</f>
        <v>Extra Supervision monitoring and coordination 2</v>
      </c>
      <c r="D1171" s="22">
        <f>'Costing inputs'!$U$520</f>
        <v>0</v>
      </c>
      <c r="E1171" s="22" t="str">
        <f>'Regional splits'!$C$14</f>
        <v>Central</v>
      </c>
      <c r="F1171" t="e">
        <f t="array" ref="F1171:O1186">'Costing inputs'!S520*'Costing inputs'!AP520:AY520*TRANSPOSE('Costing inputs'!W520:AL520)</f>
        <v>#N/A</v>
      </c>
      <c r="G1171" t="e">
        <v>#N/A</v>
      </c>
      <c r="H1171" t="e">
        <v>#N/A</v>
      </c>
      <c r="I1171" t="e">
        <v>#N/A</v>
      </c>
      <c r="J1171" t="e">
        <v>#N/A</v>
      </c>
      <c r="K1171" t="e">
        <v>#N/A</v>
      </c>
      <c r="L1171" t="e">
        <v>#N/A</v>
      </c>
      <c r="M1171" t="e">
        <v>#N/A</v>
      </c>
      <c r="N1171" t="e">
        <v>#N/A</v>
      </c>
      <c r="O1171" t="e">
        <v>#N/A</v>
      </c>
      <c r="P1171" s="5">
        <f t="shared" ref="P1171:P1186" si="213">SUMIF(F1171:O1171,"&lt;&gt;#N/A")</f>
        <v>0</v>
      </c>
      <c r="Q1171">
        <f t="shared" si="203"/>
        <v>0</v>
      </c>
      <c r="R1171">
        <f t="shared" si="204"/>
        <v>0</v>
      </c>
      <c r="S1171">
        <f t="shared" si="205"/>
        <v>0</v>
      </c>
      <c r="T1171">
        <f t="shared" si="206"/>
        <v>0</v>
      </c>
      <c r="U1171">
        <f t="shared" si="207"/>
        <v>0</v>
      </c>
      <c r="V1171">
        <f t="shared" si="208"/>
        <v>0</v>
      </c>
      <c r="W1171">
        <f t="shared" si="209"/>
        <v>0</v>
      </c>
      <c r="X1171">
        <f t="shared" si="210"/>
        <v>0</v>
      </c>
      <c r="Y1171">
        <f t="shared" si="211"/>
        <v>0</v>
      </c>
      <c r="Z1171">
        <f t="shared" si="212"/>
        <v>0</v>
      </c>
      <c r="AA1171" t="str">
        <f>INDEX('Priority activities'!$D$5:$D$86,MATCH('Database for analysis'!C1171,'Priority activities'!$C$5:$C$86,0))</f>
        <v>n/a</v>
      </c>
    </row>
    <row r="1172" spans="2:27" ht="16.5" thickTop="1" thickBot="1" x14ac:dyDescent="0.3">
      <c r="B1172" t="s">
        <v>727</v>
      </c>
      <c r="C1172" s="22" t="str">
        <f>'Costing inputs'!$C$520</f>
        <v>Extra Supervision monitoring and coordination 2</v>
      </c>
      <c r="D1172" s="22">
        <f>'Costing inputs'!$U$520</f>
        <v>0</v>
      </c>
      <c r="E1172" s="22" t="str">
        <f>'Regional splits'!$D$14</f>
        <v>Copperbelt</v>
      </c>
      <c r="F1172" t="e">
        <v>#N/A</v>
      </c>
      <c r="G1172" t="e">
        <v>#N/A</v>
      </c>
      <c r="H1172" t="e">
        <v>#N/A</v>
      </c>
      <c r="I1172" t="e">
        <v>#N/A</v>
      </c>
      <c r="J1172" t="e">
        <v>#N/A</v>
      </c>
      <c r="K1172" t="e">
        <v>#N/A</v>
      </c>
      <c r="L1172" t="e">
        <v>#N/A</v>
      </c>
      <c r="M1172" t="e">
        <v>#N/A</v>
      </c>
      <c r="N1172" t="e">
        <v>#N/A</v>
      </c>
      <c r="O1172" t="e">
        <v>#N/A</v>
      </c>
      <c r="P1172" s="5">
        <f t="shared" si="213"/>
        <v>0</v>
      </c>
      <c r="Q1172">
        <f t="shared" si="203"/>
        <v>0</v>
      </c>
      <c r="R1172">
        <f t="shared" si="204"/>
        <v>0</v>
      </c>
      <c r="S1172">
        <f t="shared" si="205"/>
        <v>0</v>
      </c>
      <c r="T1172">
        <f t="shared" si="206"/>
        <v>0</v>
      </c>
      <c r="U1172">
        <f t="shared" si="207"/>
        <v>0</v>
      </c>
      <c r="V1172">
        <f t="shared" si="208"/>
        <v>0</v>
      </c>
      <c r="W1172">
        <f t="shared" si="209"/>
        <v>0</v>
      </c>
      <c r="X1172">
        <f t="shared" si="210"/>
        <v>0</v>
      </c>
      <c r="Y1172">
        <f t="shared" si="211"/>
        <v>0</v>
      </c>
      <c r="Z1172">
        <f t="shared" si="212"/>
        <v>0</v>
      </c>
      <c r="AA1172" t="str">
        <f>INDEX('Priority activities'!$D$5:$D$86,MATCH('Database for analysis'!C1172,'Priority activities'!$C$5:$C$86,0))</f>
        <v>n/a</v>
      </c>
    </row>
    <row r="1173" spans="2:27" ht="16.5" thickTop="1" thickBot="1" x14ac:dyDescent="0.3">
      <c r="B1173" t="s">
        <v>727</v>
      </c>
      <c r="C1173" s="22" t="str">
        <f>'Costing inputs'!$C$520</f>
        <v>Extra Supervision monitoring and coordination 2</v>
      </c>
      <c r="D1173" s="22">
        <f>'Costing inputs'!$U$520</f>
        <v>0</v>
      </c>
      <c r="E1173" s="22" t="str">
        <f>'Regional splits'!$E$14</f>
        <v>Eastern</v>
      </c>
      <c r="F1173" t="e">
        <v>#N/A</v>
      </c>
      <c r="G1173" t="e">
        <v>#N/A</v>
      </c>
      <c r="H1173" t="e">
        <v>#N/A</v>
      </c>
      <c r="I1173" t="e">
        <v>#N/A</v>
      </c>
      <c r="J1173" t="e">
        <v>#N/A</v>
      </c>
      <c r="K1173" t="e">
        <v>#N/A</v>
      </c>
      <c r="L1173" t="e">
        <v>#N/A</v>
      </c>
      <c r="M1173" t="e">
        <v>#N/A</v>
      </c>
      <c r="N1173" t="e">
        <v>#N/A</v>
      </c>
      <c r="O1173" t="e">
        <v>#N/A</v>
      </c>
      <c r="P1173" s="5">
        <f t="shared" si="213"/>
        <v>0</v>
      </c>
      <c r="Q1173">
        <f t="shared" si="203"/>
        <v>0</v>
      </c>
      <c r="R1173">
        <f t="shared" si="204"/>
        <v>0</v>
      </c>
      <c r="S1173">
        <f t="shared" si="205"/>
        <v>0</v>
      </c>
      <c r="T1173">
        <f t="shared" si="206"/>
        <v>0</v>
      </c>
      <c r="U1173">
        <f t="shared" si="207"/>
        <v>0</v>
      </c>
      <c r="V1173">
        <f t="shared" si="208"/>
        <v>0</v>
      </c>
      <c r="W1173">
        <f t="shared" si="209"/>
        <v>0</v>
      </c>
      <c r="X1173">
        <f t="shared" si="210"/>
        <v>0</v>
      </c>
      <c r="Y1173">
        <f t="shared" si="211"/>
        <v>0</v>
      </c>
      <c r="Z1173">
        <f t="shared" si="212"/>
        <v>0</v>
      </c>
      <c r="AA1173" t="str">
        <f>INDEX('Priority activities'!$D$5:$D$86,MATCH('Database for analysis'!C1173,'Priority activities'!$C$5:$C$86,0))</f>
        <v>n/a</v>
      </c>
    </row>
    <row r="1174" spans="2:27" ht="16.5" thickTop="1" thickBot="1" x14ac:dyDescent="0.3">
      <c r="B1174" t="s">
        <v>727</v>
      </c>
      <c r="C1174" s="22" t="str">
        <f>'Costing inputs'!$C$520</f>
        <v>Extra Supervision monitoring and coordination 2</v>
      </c>
      <c r="D1174" s="22">
        <f>'Costing inputs'!$U$520</f>
        <v>0</v>
      </c>
      <c r="E1174" s="22" t="str">
        <f>'Regional splits'!$F$14</f>
        <v>Luapula</v>
      </c>
      <c r="F1174" t="e">
        <v>#N/A</v>
      </c>
      <c r="G1174" t="e">
        <v>#N/A</v>
      </c>
      <c r="H1174" t="e">
        <v>#N/A</v>
      </c>
      <c r="I1174" t="e">
        <v>#N/A</v>
      </c>
      <c r="J1174" t="e">
        <v>#N/A</v>
      </c>
      <c r="K1174" t="e">
        <v>#N/A</v>
      </c>
      <c r="L1174" t="e">
        <v>#N/A</v>
      </c>
      <c r="M1174" t="e">
        <v>#N/A</v>
      </c>
      <c r="N1174" t="e">
        <v>#N/A</v>
      </c>
      <c r="O1174" t="e">
        <v>#N/A</v>
      </c>
      <c r="P1174" s="5">
        <f t="shared" si="213"/>
        <v>0</v>
      </c>
      <c r="Q1174">
        <f t="shared" si="203"/>
        <v>0</v>
      </c>
      <c r="R1174">
        <f t="shared" si="204"/>
        <v>0</v>
      </c>
      <c r="S1174">
        <f t="shared" si="205"/>
        <v>0</v>
      </c>
      <c r="T1174">
        <f t="shared" si="206"/>
        <v>0</v>
      </c>
      <c r="U1174">
        <f t="shared" si="207"/>
        <v>0</v>
      </c>
      <c r="V1174">
        <f t="shared" si="208"/>
        <v>0</v>
      </c>
      <c r="W1174">
        <f t="shared" si="209"/>
        <v>0</v>
      </c>
      <c r="X1174">
        <f t="shared" si="210"/>
        <v>0</v>
      </c>
      <c r="Y1174">
        <f t="shared" si="211"/>
        <v>0</v>
      </c>
      <c r="Z1174">
        <f t="shared" si="212"/>
        <v>0</v>
      </c>
      <c r="AA1174" t="str">
        <f>INDEX('Priority activities'!$D$5:$D$86,MATCH('Database for analysis'!C1174,'Priority activities'!$C$5:$C$86,0))</f>
        <v>n/a</v>
      </c>
    </row>
    <row r="1175" spans="2:27" ht="16.5" thickTop="1" thickBot="1" x14ac:dyDescent="0.3">
      <c r="B1175" t="s">
        <v>727</v>
      </c>
      <c r="C1175" s="22" t="str">
        <f>'Costing inputs'!$C$520</f>
        <v>Extra Supervision monitoring and coordination 2</v>
      </c>
      <c r="D1175" s="22">
        <f>'Costing inputs'!$U$520</f>
        <v>0</v>
      </c>
      <c r="E1175" s="22" t="str">
        <f>'Regional splits'!$G$14</f>
        <v>Lusaka</v>
      </c>
      <c r="F1175" t="e">
        <v>#N/A</v>
      </c>
      <c r="G1175" t="e">
        <v>#N/A</v>
      </c>
      <c r="H1175" t="e">
        <v>#N/A</v>
      </c>
      <c r="I1175" t="e">
        <v>#N/A</v>
      </c>
      <c r="J1175" t="e">
        <v>#N/A</v>
      </c>
      <c r="K1175" t="e">
        <v>#N/A</v>
      </c>
      <c r="L1175" t="e">
        <v>#N/A</v>
      </c>
      <c r="M1175" t="e">
        <v>#N/A</v>
      </c>
      <c r="N1175" t="e">
        <v>#N/A</v>
      </c>
      <c r="O1175" t="e">
        <v>#N/A</v>
      </c>
      <c r="P1175" s="5">
        <f t="shared" si="213"/>
        <v>0</v>
      </c>
      <c r="Q1175">
        <f t="shared" si="203"/>
        <v>0</v>
      </c>
      <c r="R1175">
        <f t="shared" si="204"/>
        <v>0</v>
      </c>
      <c r="S1175">
        <f t="shared" si="205"/>
        <v>0</v>
      </c>
      <c r="T1175">
        <f t="shared" si="206"/>
        <v>0</v>
      </c>
      <c r="U1175">
        <f t="shared" si="207"/>
        <v>0</v>
      </c>
      <c r="V1175">
        <f t="shared" si="208"/>
        <v>0</v>
      </c>
      <c r="W1175">
        <f t="shared" si="209"/>
        <v>0</v>
      </c>
      <c r="X1175">
        <f t="shared" si="210"/>
        <v>0</v>
      </c>
      <c r="Y1175">
        <f t="shared" si="211"/>
        <v>0</v>
      </c>
      <c r="Z1175">
        <f t="shared" si="212"/>
        <v>0</v>
      </c>
      <c r="AA1175" t="str">
        <f>INDEX('Priority activities'!$D$5:$D$86,MATCH('Database for analysis'!C1175,'Priority activities'!$C$5:$C$86,0))</f>
        <v>n/a</v>
      </c>
    </row>
    <row r="1176" spans="2:27" ht="16.5" thickTop="1" thickBot="1" x14ac:dyDescent="0.3">
      <c r="B1176" t="s">
        <v>727</v>
      </c>
      <c r="C1176" s="22" t="str">
        <f>'Costing inputs'!$C$520</f>
        <v>Extra Supervision monitoring and coordination 2</v>
      </c>
      <c r="D1176" s="22">
        <f>'Costing inputs'!$U$520</f>
        <v>0</v>
      </c>
      <c r="E1176" s="22" t="str">
        <f>'Regional splits'!$H$14</f>
        <v>Muchinga</v>
      </c>
      <c r="F1176" t="e">
        <v>#N/A</v>
      </c>
      <c r="G1176" t="e">
        <v>#N/A</v>
      </c>
      <c r="H1176" t="e">
        <v>#N/A</v>
      </c>
      <c r="I1176" t="e">
        <v>#N/A</v>
      </c>
      <c r="J1176" t="e">
        <v>#N/A</v>
      </c>
      <c r="K1176" t="e">
        <v>#N/A</v>
      </c>
      <c r="L1176" t="e">
        <v>#N/A</v>
      </c>
      <c r="M1176" t="e">
        <v>#N/A</v>
      </c>
      <c r="N1176" t="e">
        <v>#N/A</v>
      </c>
      <c r="O1176" t="e">
        <v>#N/A</v>
      </c>
      <c r="P1176" s="5">
        <f t="shared" si="213"/>
        <v>0</v>
      </c>
      <c r="Q1176">
        <f t="shared" si="203"/>
        <v>0</v>
      </c>
      <c r="R1176">
        <f t="shared" si="204"/>
        <v>0</v>
      </c>
      <c r="S1176">
        <f t="shared" si="205"/>
        <v>0</v>
      </c>
      <c r="T1176">
        <f t="shared" si="206"/>
        <v>0</v>
      </c>
      <c r="U1176">
        <f t="shared" si="207"/>
        <v>0</v>
      </c>
      <c r="V1176">
        <f t="shared" si="208"/>
        <v>0</v>
      </c>
      <c r="W1176">
        <f t="shared" si="209"/>
        <v>0</v>
      </c>
      <c r="X1176">
        <f t="shared" si="210"/>
        <v>0</v>
      </c>
      <c r="Y1176">
        <f t="shared" si="211"/>
        <v>0</v>
      </c>
      <c r="Z1176">
        <f t="shared" si="212"/>
        <v>0</v>
      </c>
      <c r="AA1176" t="str">
        <f>INDEX('Priority activities'!$D$5:$D$86,MATCH('Database for analysis'!C1176,'Priority activities'!$C$5:$C$86,0))</f>
        <v>n/a</v>
      </c>
    </row>
    <row r="1177" spans="2:27" ht="16.5" thickTop="1" thickBot="1" x14ac:dyDescent="0.3">
      <c r="B1177" t="s">
        <v>727</v>
      </c>
      <c r="C1177" s="22" t="str">
        <f>'Costing inputs'!$C$520</f>
        <v>Extra Supervision monitoring and coordination 2</v>
      </c>
      <c r="D1177" s="22">
        <f>'Costing inputs'!$U$520</f>
        <v>0</v>
      </c>
      <c r="E1177" s="22" t="str">
        <f>'Regional splits'!$I$14</f>
        <v>Northern</v>
      </c>
      <c r="F1177" t="e">
        <v>#N/A</v>
      </c>
      <c r="G1177" t="e">
        <v>#N/A</v>
      </c>
      <c r="H1177" t="e">
        <v>#N/A</v>
      </c>
      <c r="I1177" t="e">
        <v>#N/A</v>
      </c>
      <c r="J1177" t="e">
        <v>#N/A</v>
      </c>
      <c r="K1177" t="e">
        <v>#N/A</v>
      </c>
      <c r="L1177" t="e">
        <v>#N/A</v>
      </c>
      <c r="M1177" t="e">
        <v>#N/A</v>
      </c>
      <c r="N1177" t="e">
        <v>#N/A</v>
      </c>
      <c r="O1177" t="e">
        <v>#N/A</v>
      </c>
      <c r="P1177" s="5">
        <f t="shared" si="213"/>
        <v>0</v>
      </c>
      <c r="Q1177">
        <f t="shared" si="203"/>
        <v>0</v>
      </c>
      <c r="R1177">
        <f t="shared" si="204"/>
        <v>0</v>
      </c>
      <c r="S1177">
        <f t="shared" si="205"/>
        <v>0</v>
      </c>
      <c r="T1177">
        <f t="shared" si="206"/>
        <v>0</v>
      </c>
      <c r="U1177">
        <f t="shared" si="207"/>
        <v>0</v>
      </c>
      <c r="V1177">
        <f t="shared" si="208"/>
        <v>0</v>
      </c>
      <c r="W1177">
        <f t="shared" si="209"/>
        <v>0</v>
      </c>
      <c r="X1177">
        <f t="shared" si="210"/>
        <v>0</v>
      </c>
      <c r="Y1177">
        <f t="shared" si="211"/>
        <v>0</v>
      </c>
      <c r="Z1177">
        <f t="shared" si="212"/>
        <v>0</v>
      </c>
      <c r="AA1177" t="str">
        <f>INDEX('Priority activities'!$D$5:$D$86,MATCH('Database for analysis'!C1177,'Priority activities'!$C$5:$C$86,0))</f>
        <v>n/a</v>
      </c>
    </row>
    <row r="1178" spans="2:27" ht="16.5" thickTop="1" thickBot="1" x14ac:dyDescent="0.3">
      <c r="B1178" t="s">
        <v>727</v>
      </c>
      <c r="C1178" s="22" t="str">
        <f>'Costing inputs'!$C$520</f>
        <v>Extra Supervision monitoring and coordination 2</v>
      </c>
      <c r="D1178" s="22">
        <f>'Costing inputs'!$U$520</f>
        <v>0</v>
      </c>
      <c r="E1178" s="22" t="str">
        <f>'Regional splits'!$J$14</f>
        <v>North Western</v>
      </c>
      <c r="F1178" t="e">
        <v>#N/A</v>
      </c>
      <c r="G1178" t="e">
        <v>#N/A</v>
      </c>
      <c r="H1178" t="e">
        <v>#N/A</v>
      </c>
      <c r="I1178" t="e">
        <v>#N/A</v>
      </c>
      <c r="J1178" t="e">
        <v>#N/A</v>
      </c>
      <c r="K1178" t="e">
        <v>#N/A</v>
      </c>
      <c r="L1178" t="e">
        <v>#N/A</v>
      </c>
      <c r="M1178" t="e">
        <v>#N/A</v>
      </c>
      <c r="N1178" t="e">
        <v>#N/A</v>
      </c>
      <c r="O1178" t="e">
        <v>#N/A</v>
      </c>
      <c r="P1178" s="5">
        <f t="shared" si="213"/>
        <v>0</v>
      </c>
      <c r="Q1178">
        <f t="shared" si="203"/>
        <v>0</v>
      </c>
      <c r="R1178">
        <f t="shared" si="204"/>
        <v>0</v>
      </c>
      <c r="S1178">
        <f t="shared" si="205"/>
        <v>0</v>
      </c>
      <c r="T1178">
        <f t="shared" si="206"/>
        <v>0</v>
      </c>
      <c r="U1178">
        <f t="shared" si="207"/>
        <v>0</v>
      </c>
      <c r="V1178">
        <f t="shared" si="208"/>
        <v>0</v>
      </c>
      <c r="W1178">
        <f t="shared" si="209"/>
        <v>0</v>
      </c>
      <c r="X1178">
        <f t="shared" si="210"/>
        <v>0</v>
      </c>
      <c r="Y1178">
        <f t="shared" si="211"/>
        <v>0</v>
      </c>
      <c r="Z1178">
        <f t="shared" si="212"/>
        <v>0</v>
      </c>
      <c r="AA1178" t="str">
        <f>INDEX('Priority activities'!$D$5:$D$86,MATCH('Database for analysis'!C1178,'Priority activities'!$C$5:$C$86,0))</f>
        <v>n/a</v>
      </c>
    </row>
    <row r="1179" spans="2:27" ht="16.5" thickTop="1" thickBot="1" x14ac:dyDescent="0.3">
      <c r="B1179" t="s">
        <v>727</v>
      </c>
      <c r="C1179" s="22" t="str">
        <f>'Costing inputs'!$C$520</f>
        <v>Extra Supervision monitoring and coordination 2</v>
      </c>
      <c r="D1179" s="22">
        <f>'Costing inputs'!$U$520</f>
        <v>0</v>
      </c>
      <c r="E1179" s="22" t="str">
        <f>'Regional splits'!$K$14</f>
        <v>Southern</v>
      </c>
      <c r="F1179" t="e">
        <v>#N/A</v>
      </c>
      <c r="G1179" t="e">
        <v>#N/A</v>
      </c>
      <c r="H1179" t="e">
        <v>#N/A</v>
      </c>
      <c r="I1179" t="e">
        <v>#N/A</v>
      </c>
      <c r="J1179" t="e">
        <v>#N/A</v>
      </c>
      <c r="K1179" t="e">
        <v>#N/A</v>
      </c>
      <c r="L1179" t="e">
        <v>#N/A</v>
      </c>
      <c r="M1179" t="e">
        <v>#N/A</v>
      </c>
      <c r="N1179" t="e">
        <v>#N/A</v>
      </c>
      <c r="O1179" t="e">
        <v>#N/A</v>
      </c>
      <c r="P1179" s="5">
        <f t="shared" si="213"/>
        <v>0</v>
      </c>
      <c r="Q1179">
        <f t="shared" si="203"/>
        <v>0</v>
      </c>
      <c r="R1179">
        <f t="shared" si="204"/>
        <v>0</v>
      </c>
      <c r="S1179">
        <f t="shared" si="205"/>
        <v>0</v>
      </c>
      <c r="T1179">
        <f t="shared" si="206"/>
        <v>0</v>
      </c>
      <c r="U1179">
        <f t="shared" si="207"/>
        <v>0</v>
      </c>
      <c r="V1179">
        <f t="shared" si="208"/>
        <v>0</v>
      </c>
      <c r="W1179">
        <f t="shared" si="209"/>
        <v>0</v>
      </c>
      <c r="X1179">
        <f t="shared" si="210"/>
        <v>0</v>
      </c>
      <c r="Y1179">
        <f t="shared" si="211"/>
        <v>0</v>
      </c>
      <c r="Z1179">
        <f t="shared" si="212"/>
        <v>0</v>
      </c>
      <c r="AA1179" t="str">
        <f>INDEX('Priority activities'!$D$5:$D$86,MATCH('Database for analysis'!C1179,'Priority activities'!$C$5:$C$86,0))</f>
        <v>n/a</v>
      </c>
    </row>
    <row r="1180" spans="2:27" ht="16.5" thickTop="1" thickBot="1" x14ac:dyDescent="0.3">
      <c r="B1180" t="s">
        <v>727</v>
      </c>
      <c r="C1180" s="22" t="str">
        <f>'Costing inputs'!$C$520</f>
        <v>Extra Supervision monitoring and coordination 2</v>
      </c>
      <c r="D1180" s="22">
        <f>'Costing inputs'!$U$520</f>
        <v>0</v>
      </c>
      <c r="E1180" s="22" t="str">
        <f>'Regional splits'!$L$14</f>
        <v>Western</v>
      </c>
      <c r="F1180" t="e">
        <v>#N/A</v>
      </c>
      <c r="G1180" t="e">
        <v>#N/A</v>
      </c>
      <c r="H1180" t="e">
        <v>#N/A</v>
      </c>
      <c r="I1180" t="e">
        <v>#N/A</v>
      </c>
      <c r="J1180" t="e">
        <v>#N/A</v>
      </c>
      <c r="K1180" t="e">
        <v>#N/A</v>
      </c>
      <c r="L1180" t="e">
        <v>#N/A</v>
      </c>
      <c r="M1180" t="e">
        <v>#N/A</v>
      </c>
      <c r="N1180" t="e">
        <v>#N/A</v>
      </c>
      <c r="O1180" t="e">
        <v>#N/A</v>
      </c>
      <c r="P1180" s="5">
        <f t="shared" si="213"/>
        <v>0</v>
      </c>
      <c r="Q1180">
        <f t="shared" si="203"/>
        <v>0</v>
      </c>
      <c r="R1180">
        <f t="shared" si="204"/>
        <v>0</v>
      </c>
      <c r="S1180">
        <f t="shared" si="205"/>
        <v>0</v>
      </c>
      <c r="T1180">
        <f t="shared" si="206"/>
        <v>0</v>
      </c>
      <c r="U1180">
        <f t="shared" si="207"/>
        <v>0</v>
      </c>
      <c r="V1180">
        <f t="shared" si="208"/>
        <v>0</v>
      </c>
      <c r="W1180">
        <f t="shared" si="209"/>
        <v>0</v>
      </c>
      <c r="X1180">
        <f t="shared" si="210"/>
        <v>0</v>
      </c>
      <c r="Y1180">
        <f t="shared" si="211"/>
        <v>0</v>
      </c>
      <c r="Z1180">
        <f t="shared" si="212"/>
        <v>0</v>
      </c>
      <c r="AA1180" t="str">
        <f>INDEX('Priority activities'!$D$5:$D$86,MATCH('Database for analysis'!C1180,'Priority activities'!$C$5:$C$86,0))</f>
        <v>n/a</v>
      </c>
    </row>
    <row r="1181" spans="2:27" ht="16.5" thickTop="1" thickBot="1" x14ac:dyDescent="0.3">
      <c r="B1181" t="s">
        <v>727</v>
      </c>
      <c r="C1181" s="22" t="str">
        <f>'Costing inputs'!$C$520</f>
        <v>Extra Supervision monitoring and coordination 2</v>
      </c>
      <c r="D1181" s="22">
        <f>'Costing inputs'!$U$520</f>
        <v>0</v>
      </c>
      <c r="E1181" s="22">
        <f>'Regional splits'!$M$14</f>
        <v>0</v>
      </c>
      <c r="F1181" t="e">
        <v>#N/A</v>
      </c>
      <c r="G1181" t="e">
        <v>#N/A</v>
      </c>
      <c r="H1181" t="e">
        <v>#N/A</v>
      </c>
      <c r="I1181" t="e">
        <v>#N/A</v>
      </c>
      <c r="J1181" t="e">
        <v>#N/A</v>
      </c>
      <c r="K1181" t="e">
        <v>#N/A</v>
      </c>
      <c r="L1181" t="e">
        <v>#N/A</v>
      </c>
      <c r="M1181" t="e">
        <v>#N/A</v>
      </c>
      <c r="N1181" t="e">
        <v>#N/A</v>
      </c>
      <c r="O1181" t="e">
        <v>#N/A</v>
      </c>
      <c r="P1181" s="5">
        <f t="shared" si="213"/>
        <v>0</v>
      </c>
      <c r="Q1181">
        <f t="shared" si="203"/>
        <v>0</v>
      </c>
      <c r="R1181">
        <f t="shared" si="204"/>
        <v>0</v>
      </c>
      <c r="S1181">
        <f t="shared" si="205"/>
        <v>0</v>
      </c>
      <c r="T1181">
        <f t="shared" si="206"/>
        <v>0</v>
      </c>
      <c r="U1181">
        <f t="shared" si="207"/>
        <v>0</v>
      </c>
      <c r="V1181">
        <f t="shared" si="208"/>
        <v>0</v>
      </c>
      <c r="W1181">
        <f t="shared" si="209"/>
        <v>0</v>
      </c>
      <c r="X1181">
        <f t="shared" si="210"/>
        <v>0</v>
      </c>
      <c r="Y1181">
        <f t="shared" si="211"/>
        <v>0</v>
      </c>
      <c r="Z1181">
        <f t="shared" si="212"/>
        <v>0</v>
      </c>
      <c r="AA1181" t="str">
        <f>INDEX('Priority activities'!$D$5:$D$86,MATCH('Database for analysis'!C1181,'Priority activities'!$C$5:$C$86,0))</f>
        <v>n/a</v>
      </c>
    </row>
    <row r="1182" spans="2:27" ht="16.5" thickTop="1" thickBot="1" x14ac:dyDescent="0.3">
      <c r="B1182" t="s">
        <v>727</v>
      </c>
      <c r="C1182" s="22" t="str">
        <f>'Costing inputs'!$C$520</f>
        <v>Extra Supervision monitoring and coordination 2</v>
      </c>
      <c r="D1182" s="22">
        <f>'Costing inputs'!$U$520</f>
        <v>0</v>
      </c>
      <c r="E1182" s="22">
        <f>'Regional splits'!$N$14</f>
        <v>0</v>
      </c>
      <c r="F1182" t="e">
        <v>#N/A</v>
      </c>
      <c r="G1182" t="e">
        <v>#N/A</v>
      </c>
      <c r="H1182" t="e">
        <v>#N/A</v>
      </c>
      <c r="I1182" t="e">
        <v>#N/A</v>
      </c>
      <c r="J1182" t="e">
        <v>#N/A</v>
      </c>
      <c r="K1182" t="e">
        <v>#N/A</v>
      </c>
      <c r="L1182" t="e">
        <v>#N/A</v>
      </c>
      <c r="M1182" t="e">
        <v>#N/A</v>
      </c>
      <c r="N1182" t="e">
        <v>#N/A</v>
      </c>
      <c r="O1182" t="e">
        <v>#N/A</v>
      </c>
      <c r="P1182" s="5">
        <f t="shared" si="213"/>
        <v>0</v>
      </c>
      <c r="Q1182">
        <f t="shared" si="203"/>
        <v>0</v>
      </c>
      <c r="R1182">
        <f t="shared" si="204"/>
        <v>0</v>
      </c>
      <c r="S1182">
        <f t="shared" si="205"/>
        <v>0</v>
      </c>
      <c r="T1182">
        <f t="shared" si="206"/>
        <v>0</v>
      </c>
      <c r="U1182">
        <f t="shared" si="207"/>
        <v>0</v>
      </c>
      <c r="V1182">
        <f t="shared" si="208"/>
        <v>0</v>
      </c>
      <c r="W1182">
        <f t="shared" si="209"/>
        <v>0</v>
      </c>
      <c r="X1182">
        <f t="shared" si="210"/>
        <v>0</v>
      </c>
      <c r="Y1182">
        <f t="shared" si="211"/>
        <v>0</v>
      </c>
      <c r="Z1182">
        <f t="shared" si="212"/>
        <v>0</v>
      </c>
      <c r="AA1182" t="str">
        <f>INDEX('Priority activities'!$D$5:$D$86,MATCH('Database for analysis'!C1182,'Priority activities'!$C$5:$C$86,0))</f>
        <v>n/a</v>
      </c>
    </row>
    <row r="1183" spans="2:27" ht="16.5" thickTop="1" thickBot="1" x14ac:dyDescent="0.3">
      <c r="B1183" t="s">
        <v>727</v>
      </c>
      <c r="C1183" s="22" t="str">
        <f>'Costing inputs'!$C$520</f>
        <v>Extra Supervision monitoring and coordination 2</v>
      </c>
      <c r="D1183" s="22">
        <f>'Costing inputs'!$U$520</f>
        <v>0</v>
      </c>
      <c r="E1183" s="22">
        <f>'Regional splits'!$O$14</f>
        <v>0</v>
      </c>
      <c r="F1183" t="e">
        <v>#N/A</v>
      </c>
      <c r="G1183" t="e">
        <v>#N/A</v>
      </c>
      <c r="H1183" t="e">
        <v>#N/A</v>
      </c>
      <c r="I1183" t="e">
        <v>#N/A</v>
      </c>
      <c r="J1183" t="e">
        <v>#N/A</v>
      </c>
      <c r="K1183" t="e">
        <v>#N/A</v>
      </c>
      <c r="L1183" t="e">
        <v>#N/A</v>
      </c>
      <c r="M1183" t="e">
        <v>#N/A</v>
      </c>
      <c r="N1183" t="e">
        <v>#N/A</v>
      </c>
      <c r="O1183" t="e">
        <v>#N/A</v>
      </c>
      <c r="P1183" s="5">
        <f t="shared" si="213"/>
        <v>0</v>
      </c>
      <c r="Q1183">
        <f t="shared" si="203"/>
        <v>0</v>
      </c>
      <c r="R1183">
        <f t="shared" si="204"/>
        <v>0</v>
      </c>
      <c r="S1183">
        <f t="shared" si="205"/>
        <v>0</v>
      </c>
      <c r="T1183">
        <f t="shared" si="206"/>
        <v>0</v>
      </c>
      <c r="U1183">
        <f t="shared" si="207"/>
        <v>0</v>
      </c>
      <c r="V1183">
        <f t="shared" si="208"/>
        <v>0</v>
      </c>
      <c r="W1183">
        <f t="shared" si="209"/>
        <v>0</v>
      </c>
      <c r="X1183">
        <f t="shared" si="210"/>
        <v>0</v>
      </c>
      <c r="Y1183">
        <f t="shared" si="211"/>
        <v>0</v>
      </c>
      <c r="Z1183">
        <f t="shared" si="212"/>
        <v>0</v>
      </c>
      <c r="AA1183" t="str">
        <f>INDEX('Priority activities'!$D$5:$D$86,MATCH('Database for analysis'!C1183,'Priority activities'!$C$5:$C$86,0))</f>
        <v>n/a</v>
      </c>
    </row>
    <row r="1184" spans="2:27" ht="16.5" thickTop="1" thickBot="1" x14ac:dyDescent="0.3">
      <c r="B1184" t="s">
        <v>727</v>
      </c>
      <c r="C1184" s="22" t="str">
        <f>'Costing inputs'!$C$520</f>
        <v>Extra Supervision monitoring and coordination 2</v>
      </c>
      <c r="D1184" s="22">
        <f>'Costing inputs'!$U$520</f>
        <v>0</v>
      </c>
      <c r="E1184" s="22">
        <f>'Regional splits'!$P$14</f>
        <v>0</v>
      </c>
      <c r="F1184" t="e">
        <v>#N/A</v>
      </c>
      <c r="G1184" t="e">
        <v>#N/A</v>
      </c>
      <c r="H1184" t="e">
        <v>#N/A</v>
      </c>
      <c r="I1184" t="e">
        <v>#N/A</v>
      </c>
      <c r="J1184" t="e">
        <v>#N/A</v>
      </c>
      <c r="K1184" t="e">
        <v>#N/A</v>
      </c>
      <c r="L1184" t="e">
        <v>#N/A</v>
      </c>
      <c r="M1184" t="e">
        <v>#N/A</v>
      </c>
      <c r="N1184" t="e">
        <v>#N/A</v>
      </c>
      <c r="O1184" t="e">
        <v>#N/A</v>
      </c>
      <c r="P1184" s="5">
        <f t="shared" si="213"/>
        <v>0</v>
      </c>
      <c r="Q1184">
        <f t="shared" si="203"/>
        <v>0</v>
      </c>
      <c r="R1184">
        <f t="shared" si="204"/>
        <v>0</v>
      </c>
      <c r="S1184">
        <f t="shared" si="205"/>
        <v>0</v>
      </c>
      <c r="T1184">
        <f t="shared" si="206"/>
        <v>0</v>
      </c>
      <c r="U1184">
        <f t="shared" si="207"/>
        <v>0</v>
      </c>
      <c r="V1184">
        <f t="shared" si="208"/>
        <v>0</v>
      </c>
      <c r="W1184">
        <f t="shared" si="209"/>
        <v>0</v>
      </c>
      <c r="X1184">
        <f t="shared" si="210"/>
        <v>0</v>
      </c>
      <c r="Y1184">
        <f t="shared" si="211"/>
        <v>0</v>
      </c>
      <c r="Z1184">
        <f t="shared" si="212"/>
        <v>0</v>
      </c>
      <c r="AA1184" t="str">
        <f>INDEX('Priority activities'!$D$5:$D$86,MATCH('Database for analysis'!C1184,'Priority activities'!$C$5:$C$86,0))</f>
        <v>n/a</v>
      </c>
    </row>
    <row r="1185" spans="2:27" ht="16.5" thickTop="1" thickBot="1" x14ac:dyDescent="0.3">
      <c r="B1185" t="s">
        <v>727</v>
      </c>
      <c r="C1185" s="22" t="str">
        <f>'Costing inputs'!$C$520</f>
        <v>Extra Supervision monitoring and coordination 2</v>
      </c>
      <c r="D1185" s="22">
        <f>'Costing inputs'!$U$520</f>
        <v>0</v>
      </c>
      <c r="E1185" s="22">
        <f>'Regional splits'!$Q$14</f>
        <v>0</v>
      </c>
      <c r="F1185" t="e">
        <v>#N/A</v>
      </c>
      <c r="G1185" t="e">
        <v>#N/A</v>
      </c>
      <c r="H1185" t="e">
        <v>#N/A</v>
      </c>
      <c r="I1185" t="e">
        <v>#N/A</v>
      </c>
      <c r="J1185" t="e">
        <v>#N/A</v>
      </c>
      <c r="K1185" t="e">
        <v>#N/A</v>
      </c>
      <c r="L1185" t="e">
        <v>#N/A</v>
      </c>
      <c r="M1185" t="e">
        <v>#N/A</v>
      </c>
      <c r="N1185" t="e">
        <v>#N/A</v>
      </c>
      <c r="O1185" t="e">
        <v>#N/A</v>
      </c>
      <c r="P1185" s="5">
        <f t="shared" si="213"/>
        <v>0</v>
      </c>
      <c r="Q1185">
        <f t="shared" si="203"/>
        <v>0</v>
      </c>
      <c r="R1185">
        <f t="shared" si="204"/>
        <v>0</v>
      </c>
      <c r="S1185">
        <f t="shared" si="205"/>
        <v>0</v>
      </c>
      <c r="T1185">
        <f t="shared" si="206"/>
        <v>0</v>
      </c>
      <c r="U1185">
        <f t="shared" si="207"/>
        <v>0</v>
      </c>
      <c r="V1185">
        <f t="shared" si="208"/>
        <v>0</v>
      </c>
      <c r="W1185">
        <f t="shared" si="209"/>
        <v>0</v>
      </c>
      <c r="X1185">
        <f t="shared" si="210"/>
        <v>0</v>
      </c>
      <c r="Y1185">
        <f t="shared" si="211"/>
        <v>0</v>
      </c>
      <c r="Z1185">
        <f t="shared" si="212"/>
        <v>0</v>
      </c>
      <c r="AA1185" t="str">
        <f>INDEX('Priority activities'!$D$5:$D$86,MATCH('Database for analysis'!C1185,'Priority activities'!$C$5:$C$86,0))</f>
        <v>n/a</v>
      </c>
    </row>
    <row r="1186" spans="2:27" ht="16.5" thickTop="1" thickBot="1" x14ac:dyDescent="0.3">
      <c r="B1186" t="s">
        <v>727</v>
      </c>
      <c r="C1186" s="22" t="str">
        <f>'Costing inputs'!$C$520</f>
        <v>Extra Supervision monitoring and coordination 2</v>
      </c>
      <c r="D1186" s="22">
        <f>'Costing inputs'!$U$520</f>
        <v>0</v>
      </c>
      <c r="E1186" s="22" t="str">
        <f>'Regional splits'!$R$14</f>
        <v>National-level</v>
      </c>
      <c r="F1186" t="e">
        <v>#N/A</v>
      </c>
      <c r="G1186" t="e">
        <v>#N/A</v>
      </c>
      <c r="H1186" t="e">
        <v>#N/A</v>
      </c>
      <c r="I1186" t="e">
        <v>#N/A</v>
      </c>
      <c r="J1186" t="e">
        <v>#N/A</v>
      </c>
      <c r="K1186" t="e">
        <v>#N/A</v>
      </c>
      <c r="L1186" t="e">
        <v>#N/A</v>
      </c>
      <c r="M1186" t="e">
        <v>#N/A</v>
      </c>
      <c r="N1186" t="e">
        <v>#N/A</v>
      </c>
      <c r="O1186" t="e">
        <v>#N/A</v>
      </c>
      <c r="P1186" s="5">
        <f t="shared" si="213"/>
        <v>0</v>
      </c>
      <c r="Q1186">
        <f t="shared" si="203"/>
        <v>0</v>
      </c>
      <c r="R1186">
        <f t="shared" si="204"/>
        <v>0</v>
      </c>
      <c r="S1186">
        <f t="shared" si="205"/>
        <v>0</v>
      </c>
      <c r="T1186">
        <f t="shared" si="206"/>
        <v>0</v>
      </c>
      <c r="U1186">
        <f t="shared" si="207"/>
        <v>0</v>
      </c>
      <c r="V1186">
        <f t="shared" si="208"/>
        <v>0</v>
      </c>
      <c r="W1186">
        <f t="shared" si="209"/>
        <v>0</v>
      </c>
      <c r="X1186">
        <f t="shared" si="210"/>
        <v>0</v>
      </c>
      <c r="Y1186">
        <f t="shared" si="211"/>
        <v>0</v>
      </c>
      <c r="Z1186">
        <f t="shared" si="212"/>
        <v>0</v>
      </c>
      <c r="AA1186" t="str">
        <f>INDEX('Priority activities'!$D$5:$D$86,MATCH('Database for analysis'!C1186,'Priority activities'!$C$5:$C$86,0))</f>
        <v>n/a</v>
      </c>
    </row>
    <row r="1187" spans="2:27" ht="16.5" thickTop="1" thickBot="1" x14ac:dyDescent="0.3">
      <c r="B1187" t="s">
        <v>195</v>
      </c>
      <c r="C1187" s="22" t="str">
        <f>'Costing inputs'!$C$248</f>
        <v>Establish health system capacity (SDA1.1)</v>
      </c>
      <c r="D1187" s="22">
        <f>'Costing inputs'!$U$248</f>
        <v>0</v>
      </c>
      <c r="E1187" s="22" t="str">
        <f>'Regional splits'!$C$14</f>
        <v>Central</v>
      </c>
      <c r="F1187">
        <f t="array" ref="F1187:O1202">'Costing inputs'!S249*'Costing inputs'!AP249:AY249*TRANSPOSE('Costing inputs'!W249:AL249)</f>
        <v>28463.370666666662</v>
      </c>
      <c r="G1187">
        <v>0</v>
      </c>
      <c r="H1187">
        <v>0</v>
      </c>
      <c r="I1187">
        <v>0</v>
      </c>
      <c r="J1187">
        <v>0</v>
      </c>
      <c r="K1187">
        <v>0</v>
      </c>
      <c r="L1187">
        <v>0</v>
      </c>
      <c r="M1187">
        <v>0</v>
      </c>
      <c r="N1187">
        <v>0</v>
      </c>
      <c r="O1187">
        <v>0</v>
      </c>
      <c r="P1187" s="5">
        <f t="shared" ref="P1187:P1202" si="214">SUMIF(F1187:O1187,"&lt;&gt;#N/A")</f>
        <v>28463.370666666662</v>
      </c>
      <c r="Q1187">
        <f t="shared" si="203"/>
        <v>28463.370666666662</v>
      </c>
      <c r="R1187">
        <f t="shared" si="204"/>
        <v>0</v>
      </c>
      <c r="S1187">
        <f t="shared" si="205"/>
        <v>0</v>
      </c>
      <c r="T1187">
        <f t="shared" si="206"/>
        <v>0</v>
      </c>
      <c r="U1187">
        <f t="shared" si="207"/>
        <v>0</v>
      </c>
      <c r="V1187">
        <f t="shared" si="208"/>
        <v>0</v>
      </c>
      <c r="W1187">
        <f t="shared" si="209"/>
        <v>0</v>
      </c>
      <c r="X1187">
        <f t="shared" si="210"/>
        <v>0</v>
      </c>
      <c r="Y1187">
        <f t="shared" si="211"/>
        <v>0</v>
      </c>
      <c r="Z1187">
        <f t="shared" si="212"/>
        <v>0</v>
      </c>
      <c r="AA1187" t="str">
        <f>INDEX('Priority activities'!$D$5:$D$86,MATCH('Database for analysis'!C1187,'Priority activities'!$C$5:$C$86,0))</f>
        <v>n/a</v>
      </c>
    </row>
    <row r="1188" spans="2:27" ht="16.5" thickTop="1" thickBot="1" x14ac:dyDescent="0.3">
      <c r="B1188" t="s">
        <v>195</v>
      </c>
      <c r="C1188" s="22" t="str">
        <f>'Costing inputs'!$C$248</f>
        <v>Establish health system capacity (SDA1.1)</v>
      </c>
      <c r="D1188" s="22">
        <f>'Costing inputs'!$U$248</f>
        <v>0</v>
      </c>
      <c r="E1188" s="22" t="str">
        <f>'Regional splits'!$D$14</f>
        <v>Copperbelt</v>
      </c>
      <c r="F1188">
        <v>47438.951111111113</v>
      </c>
      <c r="G1188">
        <v>0</v>
      </c>
      <c r="H1188">
        <v>0</v>
      </c>
      <c r="I1188">
        <v>0</v>
      </c>
      <c r="J1188">
        <v>0</v>
      </c>
      <c r="K1188">
        <v>0</v>
      </c>
      <c r="L1188">
        <v>0</v>
      </c>
      <c r="M1188">
        <v>0</v>
      </c>
      <c r="N1188">
        <v>0</v>
      </c>
      <c r="O1188">
        <v>0</v>
      </c>
      <c r="P1188" s="5">
        <f t="shared" si="214"/>
        <v>47438.951111111113</v>
      </c>
      <c r="Q1188">
        <f t="shared" si="203"/>
        <v>47438.951111111113</v>
      </c>
      <c r="R1188">
        <f t="shared" si="204"/>
        <v>0</v>
      </c>
      <c r="S1188">
        <f t="shared" si="205"/>
        <v>0</v>
      </c>
      <c r="T1188">
        <f t="shared" si="206"/>
        <v>0</v>
      </c>
      <c r="U1188">
        <f t="shared" si="207"/>
        <v>0</v>
      </c>
      <c r="V1188">
        <f t="shared" si="208"/>
        <v>0</v>
      </c>
      <c r="W1188">
        <f t="shared" si="209"/>
        <v>0</v>
      </c>
      <c r="X1188">
        <f t="shared" si="210"/>
        <v>0</v>
      </c>
      <c r="Y1188">
        <f t="shared" si="211"/>
        <v>0</v>
      </c>
      <c r="Z1188">
        <f t="shared" si="212"/>
        <v>0</v>
      </c>
      <c r="AA1188" t="str">
        <f>INDEX('Priority activities'!$D$5:$D$86,MATCH('Database for analysis'!C1188,'Priority activities'!$C$5:$C$86,0))</f>
        <v>n/a</v>
      </c>
    </row>
    <row r="1189" spans="2:27" ht="16.5" thickTop="1" thickBot="1" x14ac:dyDescent="0.3">
      <c r="B1189" t="s">
        <v>195</v>
      </c>
      <c r="C1189" s="22" t="str">
        <f>'Costing inputs'!$C$248</f>
        <v>Establish health system capacity (SDA1.1)</v>
      </c>
      <c r="D1189" s="22">
        <f>'Costing inputs'!$U$248</f>
        <v>0</v>
      </c>
      <c r="E1189" s="22" t="str">
        <f>'Regional splits'!$E$14</f>
        <v>Eastern</v>
      </c>
      <c r="F1189">
        <v>33207.265777777779</v>
      </c>
      <c r="G1189">
        <v>0</v>
      </c>
      <c r="H1189">
        <v>0</v>
      </c>
      <c r="I1189">
        <v>0</v>
      </c>
      <c r="J1189">
        <v>0</v>
      </c>
      <c r="K1189">
        <v>0</v>
      </c>
      <c r="L1189">
        <v>0</v>
      </c>
      <c r="M1189">
        <v>0</v>
      </c>
      <c r="N1189">
        <v>0</v>
      </c>
      <c r="O1189">
        <v>0</v>
      </c>
      <c r="P1189" s="5">
        <f t="shared" si="214"/>
        <v>33207.265777777779</v>
      </c>
      <c r="Q1189">
        <f t="shared" si="203"/>
        <v>33207.265777777779</v>
      </c>
      <c r="R1189">
        <f t="shared" si="204"/>
        <v>0</v>
      </c>
      <c r="S1189">
        <f t="shared" si="205"/>
        <v>0</v>
      </c>
      <c r="T1189">
        <f t="shared" si="206"/>
        <v>0</v>
      </c>
      <c r="U1189">
        <f t="shared" si="207"/>
        <v>0</v>
      </c>
      <c r="V1189">
        <f t="shared" si="208"/>
        <v>0</v>
      </c>
      <c r="W1189">
        <f t="shared" si="209"/>
        <v>0</v>
      </c>
      <c r="X1189">
        <f t="shared" si="210"/>
        <v>0</v>
      </c>
      <c r="Y1189">
        <f t="shared" si="211"/>
        <v>0</v>
      </c>
      <c r="Z1189">
        <f t="shared" si="212"/>
        <v>0</v>
      </c>
      <c r="AA1189" t="str">
        <f>INDEX('Priority activities'!$D$5:$D$86,MATCH('Database for analysis'!C1189,'Priority activities'!$C$5:$C$86,0))</f>
        <v>n/a</v>
      </c>
    </row>
    <row r="1190" spans="2:27" ht="16.5" thickTop="1" thickBot="1" x14ac:dyDescent="0.3">
      <c r="B1190" t="s">
        <v>195</v>
      </c>
      <c r="C1190" s="22" t="str">
        <f>'Costing inputs'!$C$248</f>
        <v>Establish health system capacity (SDA1.1)</v>
      </c>
      <c r="D1190" s="22">
        <f>'Costing inputs'!$U$248</f>
        <v>0</v>
      </c>
      <c r="E1190" s="22" t="str">
        <f>'Regional splits'!$F$14</f>
        <v>Luapula</v>
      </c>
      <c r="F1190">
        <v>33207.265777777779</v>
      </c>
      <c r="G1190">
        <v>0</v>
      </c>
      <c r="H1190">
        <v>0</v>
      </c>
      <c r="I1190">
        <v>0</v>
      </c>
      <c r="J1190">
        <v>0</v>
      </c>
      <c r="K1190">
        <v>0</v>
      </c>
      <c r="L1190">
        <v>0</v>
      </c>
      <c r="M1190">
        <v>0</v>
      </c>
      <c r="N1190">
        <v>0</v>
      </c>
      <c r="O1190">
        <v>0</v>
      </c>
      <c r="P1190" s="5">
        <f t="shared" si="214"/>
        <v>33207.265777777779</v>
      </c>
      <c r="Q1190">
        <f t="shared" si="203"/>
        <v>33207.265777777779</v>
      </c>
      <c r="R1190">
        <f t="shared" si="204"/>
        <v>0</v>
      </c>
      <c r="S1190">
        <f t="shared" si="205"/>
        <v>0</v>
      </c>
      <c r="T1190">
        <f t="shared" si="206"/>
        <v>0</v>
      </c>
      <c r="U1190">
        <f t="shared" si="207"/>
        <v>0</v>
      </c>
      <c r="V1190">
        <f t="shared" si="208"/>
        <v>0</v>
      </c>
      <c r="W1190">
        <f t="shared" si="209"/>
        <v>0</v>
      </c>
      <c r="X1190">
        <f t="shared" si="210"/>
        <v>0</v>
      </c>
      <c r="Y1190">
        <f t="shared" si="211"/>
        <v>0</v>
      </c>
      <c r="Z1190">
        <f t="shared" si="212"/>
        <v>0</v>
      </c>
      <c r="AA1190" t="str">
        <f>INDEX('Priority activities'!$D$5:$D$86,MATCH('Database for analysis'!C1190,'Priority activities'!$C$5:$C$86,0))</f>
        <v>n/a</v>
      </c>
    </row>
    <row r="1191" spans="2:27" ht="16.5" thickTop="1" thickBot="1" x14ac:dyDescent="0.3">
      <c r="B1191" t="s">
        <v>195</v>
      </c>
      <c r="C1191" s="22" t="str">
        <f>'Costing inputs'!$C$248</f>
        <v>Establish health system capacity (SDA1.1)</v>
      </c>
      <c r="D1191" s="22">
        <f>'Costing inputs'!$U$248</f>
        <v>0</v>
      </c>
      <c r="E1191" s="22" t="str">
        <f>'Regional splits'!$G$14</f>
        <v>Lusaka</v>
      </c>
      <c r="F1191">
        <v>18975.58044444444</v>
      </c>
      <c r="G1191">
        <v>0</v>
      </c>
      <c r="H1191">
        <v>0</v>
      </c>
      <c r="I1191">
        <v>0</v>
      </c>
      <c r="J1191">
        <v>0</v>
      </c>
      <c r="K1191">
        <v>0</v>
      </c>
      <c r="L1191">
        <v>0</v>
      </c>
      <c r="M1191">
        <v>0</v>
      </c>
      <c r="N1191">
        <v>0</v>
      </c>
      <c r="O1191">
        <v>0</v>
      </c>
      <c r="P1191" s="5">
        <f t="shared" si="214"/>
        <v>18975.58044444444</v>
      </c>
      <c r="Q1191">
        <f t="shared" si="203"/>
        <v>18975.58044444444</v>
      </c>
      <c r="R1191">
        <f t="shared" si="204"/>
        <v>0</v>
      </c>
      <c r="S1191">
        <f t="shared" si="205"/>
        <v>0</v>
      </c>
      <c r="T1191">
        <f t="shared" si="206"/>
        <v>0</v>
      </c>
      <c r="U1191">
        <f t="shared" si="207"/>
        <v>0</v>
      </c>
      <c r="V1191">
        <f t="shared" si="208"/>
        <v>0</v>
      </c>
      <c r="W1191">
        <f t="shared" si="209"/>
        <v>0</v>
      </c>
      <c r="X1191">
        <f t="shared" si="210"/>
        <v>0</v>
      </c>
      <c r="Y1191">
        <f t="shared" si="211"/>
        <v>0</v>
      </c>
      <c r="Z1191">
        <f t="shared" si="212"/>
        <v>0</v>
      </c>
      <c r="AA1191" t="str">
        <f>INDEX('Priority activities'!$D$5:$D$86,MATCH('Database for analysis'!C1191,'Priority activities'!$C$5:$C$86,0))</f>
        <v>n/a</v>
      </c>
    </row>
    <row r="1192" spans="2:27" ht="16.5" thickTop="1" thickBot="1" x14ac:dyDescent="0.3">
      <c r="B1192" t="s">
        <v>195</v>
      </c>
      <c r="C1192" s="22" t="str">
        <f>'Costing inputs'!$C$248</f>
        <v>Establish health system capacity (SDA1.1)</v>
      </c>
      <c r="D1192" s="22">
        <f>'Costing inputs'!$U$248</f>
        <v>0</v>
      </c>
      <c r="E1192" s="22" t="str">
        <f>'Regional splits'!$H$14</f>
        <v>Muchinga</v>
      </c>
      <c r="F1192">
        <v>23719.475555555557</v>
      </c>
      <c r="G1192">
        <v>0</v>
      </c>
      <c r="H1192">
        <v>0</v>
      </c>
      <c r="I1192">
        <v>0</v>
      </c>
      <c r="J1192">
        <v>0</v>
      </c>
      <c r="K1192">
        <v>0</v>
      </c>
      <c r="L1192">
        <v>0</v>
      </c>
      <c r="M1192">
        <v>0</v>
      </c>
      <c r="N1192">
        <v>0</v>
      </c>
      <c r="O1192">
        <v>0</v>
      </c>
      <c r="P1192" s="5">
        <f t="shared" si="214"/>
        <v>23719.475555555557</v>
      </c>
      <c r="Q1192">
        <f t="shared" si="203"/>
        <v>23719.475555555557</v>
      </c>
      <c r="R1192">
        <f t="shared" si="204"/>
        <v>0</v>
      </c>
      <c r="S1192">
        <f t="shared" si="205"/>
        <v>0</v>
      </c>
      <c r="T1192">
        <f t="shared" si="206"/>
        <v>0</v>
      </c>
      <c r="U1192">
        <f t="shared" si="207"/>
        <v>0</v>
      </c>
      <c r="V1192">
        <f t="shared" si="208"/>
        <v>0</v>
      </c>
      <c r="W1192">
        <f t="shared" si="209"/>
        <v>0</v>
      </c>
      <c r="X1192">
        <f t="shared" si="210"/>
        <v>0</v>
      </c>
      <c r="Y1192">
        <f t="shared" si="211"/>
        <v>0</v>
      </c>
      <c r="Z1192">
        <f t="shared" si="212"/>
        <v>0</v>
      </c>
      <c r="AA1192" t="str">
        <f>INDEX('Priority activities'!$D$5:$D$86,MATCH('Database for analysis'!C1192,'Priority activities'!$C$5:$C$86,0))</f>
        <v>n/a</v>
      </c>
    </row>
    <row r="1193" spans="2:27" ht="16.5" thickTop="1" thickBot="1" x14ac:dyDescent="0.3">
      <c r="B1193" t="s">
        <v>195</v>
      </c>
      <c r="C1193" s="22" t="str">
        <f>'Costing inputs'!$C$248</f>
        <v>Establish health system capacity (SDA1.1)</v>
      </c>
      <c r="D1193" s="22">
        <f>'Costing inputs'!$U$248</f>
        <v>0</v>
      </c>
      <c r="E1193" s="22" t="str">
        <f>'Regional splits'!$I$14</f>
        <v>Northern</v>
      </c>
      <c r="F1193">
        <v>37951.16088888888</v>
      </c>
      <c r="G1193">
        <v>0</v>
      </c>
      <c r="H1193">
        <v>0</v>
      </c>
      <c r="I1193">
        <v>0</v>
      </c>
      <c r="J1193">
        <v>0</v>
      </c>
      <c r="K1193">
        <v>0</v>
      </c>
      <c r="L1193">
        <v>0</v>
      </c>
      <c r="M1193">
        <v>0</v>
      </c>
      <c r="N1193">
        <v>0</v>
      </c>
      <c r="O1193">
        <v>0</v>
      </c>
      <c r="P1193" s="5">
        <f t="shared" si="214"/>
        <v>37951.16088888888</v>
      </c>
      <c r="Q1193">
        <f t="shared" si="203"/>
        <v>37951.16088888888</v>
      </c>
      <c r="R1193">
        <f t="shared" si="204"/>
        <v>0</v>
      </c>
      <c r="S1193">
        <f t="shared" si="205"/>
        <v>0</v>
      </c>
      <c r="T1193">
        <f t="shared" si="206"/>
        <v>0</v>
      </c>
      <c r="U1193">
        <f t="shared" si="207"/>
        <v>0</v>
      </c>
      <c r="V1193">
        <f t="shared" si="208"/>
        <v>0</v>
      </c>
      <c r="W1193">
        <f t="shared" si="209"/>
        <v>0</v>
      </c>
      <c r="X1193">
        <f t="shared" si="210"/>
        <v>0</v>
      </c>
      <c r="Y1193">
        <f t="shared" si="211"/>
        <v>0</v>
      </c>
      <c r="Z1193">
        <f t="shared" si="212"/>
        <v>0</v>
      </c>
      <c r="AA1193" t="str">
        <f>INDEX('Priority activities'!$D$5:$D$86,MATCH('Database for analysis'!C1193,'Priority activities'!$C$5:$C$86,0))</f>
        <v>n/a</v>
      </c>
    </row>
    <row r="1194" spans="2:27" ht="16.5" thickTop="1" thickBot="1" x14ac:dyDescent="0.3">
      <c r="B1194" t="s">
        <v>195</v>
      </c>
      <c r="C1194" s="22" t="str">
        <f>'Costing inputs'!$C$248</f>
        <v>Establish health system capacity (SDA1.1)</v>
      </c>
      <c r="D1194" s="22">
        <f>'Costing inputs'!$U$248</f>
        <v>0</v>
      </c>
      <c r="E1194" s="22" t="str">
        <f>'Regional splits'!$J$14</f>
        <v>North Western</v>
      </c>
      <c r="F1194">
        <v>33207.265777777779</v>
      </c>
      <c r="G1194">
        <v>0</v>
      </c>
      <c r="H1194">
        <v>0</v>
      </c>
      <c r="I1194">
        <v>0</v>
      </c>
      <c r="J1194">
        <v>0</v>
      </c>
      <c r="K1194">
        <v>0</v>
      </c>
      <c r="L1194">
        <v>0</v>
      </c>
      <c r="M1194">
        <v>0</v>
      </c>
      <c r="N1194">
        <v>0</v>
      </c>
      <c r="O1194">
        <v>0</v>
      </c>
      <c r="P1194" s="5">
        <f t="shared" si="214"/>
        <v>33207.265777777779</v>
      </c>
      <c r="Q1194">
        <f t="shared" si="203"/>
        <v>33207.265777777779</v>
      </c>
      <c r="R1194">
        <f t="shared" si="204"/>
        <v>0</v>
      </c>
      <c r="S1194">
        <f t="shared" si="205"/>
        <v>0</v>
      </c>
      <c r="T1194">
        <f t="shared" si="206"/>
        <v>0</v>
      </c>
      <c r="U1194">
        <f t="shared" si="207"/>
        <v>0</v>
      </c>
      <c r="V1194">
        <f t="shared" si="208"/>
        <v>0</v>
      </c>
      <c r="W1194">
        <f t="shared" si="209"/>
        <v>0</v>
      </c>
      <c r="X1194">
        <f t="shared" si="210"/>
        <v>0</v>
      </c>
      <c r="Y1194">
        <f t="shared" si="211"/>
        <v>0</v>
      </c>
      <c r="Z1194">
        <f t="shared" si="212"/>
        <v>0</v>
      </c>
      <c r="AA1194" t="str">
        <f>INDEX('Priority activities'!$D$5:$D$86,MATCH('Database for analysis'!C1194,'Priority activities'!$C$5:$C$86,0))</f>
        <v>n/a</v>
      </c>
    </row>
    <row r="1195" spans="2:27" ht="16.5" thickTop="1" thickBot="1" x14ac:dyDescent="0.3">
      <c r="B1195" t="s">
        <v>195</v>
      </c>
      <c r="C1195" s="22" t="str">
        <f>'Costing inputs'!$C$248</f>
        <v>Establish health system capacity (SDA1.1)</v>
      </c>
      <c r="D1195" s="22">
        <f>'Costing inputs'!$U$248</f>
        <v>0</v>
      </c>
      <c r="E1195" s="22" t="str">
        <f>'Regional splits'!$K$14</f>
        <v>Southern</v>
      </c>
      <c r="F1195">
        <v>52182.846222222222</v>
      </c>
      <c r="G1195">
        <v>0</v>
      </c>
      <c r="H1195">
        <v>0</v>
      </c>
      <c r="I1195">
        <v>0</v>
      </c>
      <c r="J1195">
        <v>0</v>
      </c>
      <c r="K1195">
        <v>0</v>
      </c>
      <c r="L1195">
        <v>0</v>
      </c>
      <c r="M1195">
        <v>0</v>
      </c>
      <c r="N1195">
        <v>0</v>
      </c>
      <c r="O1195">
        <v>0</v>
      </c>
      <c r="P1195" s="5">
        <f t="shared" si="214"/>
        <v>52182.846222222222</v>
      </c>
      <c r="Q1195">
        <f t="shared" si="203"/>
        <v>52182.846222222222</v>
      </c>
      <c r="R1195">
        <f t="shared" si="204"/>
        <v>0</v>
      </c>
      <c r="S1195">
        <f t="shared" si="205"/>
        <v>0</v>
      </c>
      <c r="T1195">
        <f t="shared" si="206"/>
        <v>0</v>
      </c>
      <c r="U1195">
        <f t="shared" si="207"/>
        <v>0</v>
      </c>
      <c r="V1195">
        <f t="shared" si="208"/>
        <v>0</v>
      </c>
      <c r="W1195">
        <f t="shared" si="209"/>
        <v>0</v>
      </c>
      <c r="X1195">
        <f t="shared" si="210"/>
        <v>0</v>
      </c>
      <c r="Y1195">
        <f t="shared" si="211"/>
        <v>0</v>
      </c>
      <c r="Z1195">
        <f t="shared" si="212"/>
        <v>0</v>
      </c>
      <c r="AA1195" t="str">
        <f>INDEX('Priority activities'!$D$5:$D$86,MATCH('Database for analysis'!C1195,'Priority activities'!$C$5:$C$86,0))</f>
        <v>n/a</v>
      </c>
    </row>
    <row r="1196" spans="2:27" ht="16.5" thickTop="1" thickBot="1" x14ac:dyDescent="0.3">
      <c r="B1196" t="s">
        <v>195</v>
      </c>
      <c r="C1196" s="22" t="str">
        <f>'Costing inputs'!$C$248</f>
        <v>Establish health system capacity (SDA1.1)</v>
      </c>
      <c r="D1196" s="22">
        <f>'Costing inputs'!$U$248</f>
        <v>0</v>
      </c>
      <c r="E1196" s="22" t="str">
        <f>'Regional splits'!$L$14</f>
        <v>Western</v>
      </c>
      <c r="F1196">
        <v>33207.265777777779</v>
      </c>
      <c r="G1196">
        <v>0</v>
      </c>
      <c r="H1196">
        <v>0</v>
      </c>
      <c r="I1196">
        <v>0</v>
      </c>
      <c r="J1196">
        <v>0</v>
      </c>
      <c r="K1196">
        <v>0</v>
      </c>
      <c r="L1196">
        <v>0</v>
      </c>
      <c r="M1196">
        <v>0</v>
      </c>
      <c r="N1196">
        <v>0</v>
      </c>
      <c r="O1196">
        <v>0</v>
      </c>
      <c r="P1196" s="5">
        <f t="shared" si="214"/>
        <v>33207.265777777779</v>
      </c>
      <c r="Q1196">
        <f t="shared" si="203"/>
        <v>33207.265777777779</v>
      </c>
      <c r="R1196">
        <f t="shared" si="204"/>
        <v>0</v>
      </c>
      <c r="S1196">
        <f t="shared" si="205"/>
        <v>0</v>
      </c>
      <c r="T1196">
        <f t="shared" si="206"/>
        <v>0</v>
      </c>
      <c r="U1196">
        <f t="shared" si="207"/>
        <v>0</v>
      </c>
      <c r="V1196">
        <f t="shared" si="208"/>
        <v>0</v>
      </c>
      <c r="W1196">
        <f t="shared" si="209"/>
        <v>0</v>
      </c>
      <c r="X1196">
        <f t="shared" si="210"/>
        <v>0</v>
      </c>
      <c r="Y1196">
        <f t="shared" si="211"/>
        <v>0</v>
      </c>
      <c r="Z1196">
        <f t="shared" si="212"/>
        <v>0</v>
      </c>
      <c r="AA1196" t="str">
        <f>INDEX('Priority activities'!$D$5:$D$86,MATCH('Database for analysis'!C1196,'Priority activities'!$C$5:$C$86,0))</f>
        <v>n/a</v>
      </c>
    </row>
    <row r="1197" spans="2:27" ht="16.5" thickTop="1" thickBot="1" x14ac:dyDescent="0.3">
      <c r="B1197" t="s">
        <v>195</v>
      </c>
      <c r="C1197" s="22" t="str">
        <f>'Costing inputs'!$C$248</f>
        <v>Establish health system capacity (SDA1.1)</v>
      </c>
      <c r="D1197" s="22">
        <f>'Costing inputs'!$U$248</f>
        <v>0</v>
      </c>
      <c r="E1197" s="22">
        <f>'Regional splits'!$M$14</f>
        <v>0</v>
      </c>
      <c r="F1197">
        <v>0</v>
      </c>
      <c r="G1197">
        <v>0</v>
      </c>
      <c r="H1197">
        <v>0</v>
      </c>
      <c r="I1197">
        <v>0</v>
      </c>
      <c r="J1197">
        <v>0</v>
      </c>
      <c r="K1197">
        <v>0</v>
      </c>
      <c r="L1197">
        <v>0</v>
      </c>
      <c r="M1197">
        <v>0</v>
      </c>
      <c r="N1197">
        <v>0</v>
      </c>
      <c r="O1197">
        <v>0</v>
      </c>
      <c r="P1197" s="5">
        <f t="shared" si="214"/>
        <v>0</v>
      </c>
      <c r="Q1197">
        <f t="shared" si="203"/>
        <v>0</v>
      </c>
      <c r="R1197">
        <f t="shared" si="204"/>
        <v>0</v>
      </c>
      <c r="S1197">
        <f t="shared" si="205"/>
        <v>0</v>
      </c>
      <c r="T1197">
        <f t="shared" si="206"/>
        <v>0</v>
      </c>
      <c r="U1197">
        <f t="shared" si="207"/>
        <v>0</v>
      </c>
      <c r="V1197">
        <f t="shared" si="208"/>
        <v>0</v>
      </c>
      <c r="W1197">
        <f t="shared" si="209"/>
        <v>0</v>
      </c>
      <c r="X1197">
        <f t="shared" si="210"/>
        <v>0</v>
      </c>
      <c r="Y1197">
        <f t="shared" si="211"/>
        <v>0</v>
      </c>
      <c r="Z1197">
        <f t="shared" si="212"/>
        <v>0</v>
      </c>
      <c r="AA1197" t="str">
        <f>INDEX('Priority activities'!$D$5:$D$86,MATCH('Database for analysis'!C1197,'Priority activities'!$C$5:$C$86,0))</f>
        <v>n/a</v>
      </c>
    </row>
    <row r="1198" spans="2:27" ht="16.5" thickTop="1" thickBot="1" x14ac:dyDescent="0.3">
      <c r="B1198" t="s">
        <v>195</v>
      </c>
      <c r="C1198" s="22" t="str">
        <f>'Costing inputs'!$C$248</f>
        <v>Establish health system capacity (SDA1.1)</v>
      </c>
      <c r="D1198" s="22">
        <f>'Costing inputs'!$U$248</f>
        <v>0</v>
      </c>
      <c r="E1198" s="22">
        <f>'Regional splits'!$N$14</f>
        <v>0</v>
      </c>
      <c r="F1198">
        <v>0</v>
      </c>
      <c r="G1198">
        <v>0</v>
      </c>
      <c r="H1198">
        <v>0</v>
      </c>
      <c r="I1198">
        <v>0</v>
      </c>
      <c r="J1198">
        <v>0</v>
      </c>
      <c r="K1198">
        <v>0</v>
      </c>
      <c r="L1198">
        <v>0</v>
      </c>
      <c r="M1198">
        <v>0</v>
      </c>
      <c r="N1198">
        <v>0</v>
      </c>
      <c r="O1198">
        <v>0</v>
      </c>
      <c r="P1198" s="5">
        <f t="shared" si="214"/>
        <v>0</v>
      </c>
      <c r="Q1198">
        <f t="shared" si="203"/>
        <v>0</v>
      </c>
      <c r="R1198">
        <f t="shared" si="204"/>
        <v>0</v>
      </c>
      <c r="S1198">
        <f t="shared" si="205"/>
        <v>0</v>
      </c>
      <c r="T1198">
        <f t="shared" si="206"/>
        <v>0</v>
      </c>
      <c r="U1198">
        <f t="shared" si="207"/>
        <v>0</v>
      </c>
      <c r="V1198">
        <f t="shared" si="208"/>
        <v>0</v>
      </c>
      <c r="W1198">
        <f t="shared" si="209"/>
        <v>0</v>
      </c>
      <c r="X1198">
        <f t="shared" si="210"/>
        <v>0</v>
      </c>
      <c r="Y1198">
        <f t="shared" si="211"/>
        <v>0</v>
      </c>
      <c r="Z1198">
        <f t="shared" si="212"/>
        <v>0</v>
      </c>
      <c r="AA1198" t="str">
        <f>INDEX('Priority activities'!$D$5:$D$86,MATCH('Database for analysis'!C1198,'Priority activities'!$C$5:$C$86,0))</f>
        <v>n/a</v>
      </c>
    </row>
    <row r="1199" spans="2:27" ht="16.5" thickTop="1" thickBot="1" x14ac:dyDescent="0.3">
      <c r="B1199" t="s">
        <v>195</v>
      </c>
      <c r="C1199" s="22" t="str">
        <f>'Costing inputs'!$C$248</f>
        <v>Establish health system capacity (SDA1.1)</v>
      </c>
      <c r="D1199" s="22">
        <f>'Costing inputs'!$U$248</f>
        <v>0</v>
      </c>
      <c r="E1199" s="22">
        <f>'Regional splits'!$O$14</f>
        <v>0</v>
      </c>
      <c r="F1199">
        <v>0</v>
      </c>
      <c r="G1199">
        <v>0</v>
      </c>
      <c r="H1199">
        <v>0</v>
      </c>
      <c r="I1199">
        <v>0</v>
      </c>
      <c r="J1199">
        <v>0</v>
      </c>
      <c r="K1199">
        <v>0</v>
      </c>
      <c r="L1199">
        <v>0</v>
      </c>
      <c r="M1199">
        <v>0</v>
      </c>
      <c r="N1199">
        <v>0</v>
      </c>
      <c r="O1199">
        <v>0</v>
      </c>
      <c r="P1199" s="5">
        <f t="shared" si="214"/>
        <v>0</v>
      </c>
      <c r="Q1199">
        <f t="shared" si="203"/>
        <v>0</v>
      </c>
      <c r="R1199">
        <f t="shared" si="204"/>
        <v>0</v>
      </c>
      <c r="S1199">
        <f t="shared" si="205"/>
        <v>0</v>
      </c>
      <c r="T1199">
        <f t="shared" si="206"/>
        <v>0</v>
      </c>
      <c r="U1199">
        <f t="shared" si="207"/>
        <v>0</v>
      </c>
      <c r="V1199">
        <f t="shared" si="208"/>
        <v>0</v>
      </c>
      <c r="W1199">
        <f t="shared" si="209"/>
        <v>0</v>
      </c>
      <c r="X1199">
        <f t="shared" si="210"/>
        <v>0</v>
      </c>
      <c r="Y1199">
        <f t="shared" si="211"/>
        <v>0</v>
      </c>
      <c r="Z1199">
        <f t="shared" si="212"/>
        <v>0</v>
      </c>
      <c r="AA1199" t="str">
        <f>INDEX('Priority activities'!$D$5:$D$86,MATCH('Database for analysis'!C1199,'Priority activities'!$C$5:$C$86,0))</f>
        <v>n/a</v>
      </c>
    </row>
    <row r="1200" spans="2:27" ht="16.5" thickTop="1" thickBot="1" x14ac:dyDescent="0.3">
      <c r="B1200" t="s">
        <v>195</v>
      </c>
      <c r="C1200" s="22" t="str">
        <f>'Costing inputs'!$C$248</f>
        <v>Establish health system capacity (SDA1.1)</v>
      </c>
      <c r="D1200" s="22">
        <f>'Costing inputs'!$U$248</f>
        <v>0</v>
      </c>
      <c r="E1200" s="22">
        <f>'Regional splits'!$P$14</f>
        <v>0</v>
      </c>
      <c r="F1200">
        <v>0</v>
      </c>
      <c r="G1200">
        <v>0</v>
      </c>
      <c r="H1200">
        <v>0</v>
      </c>
      <c r="I1200">
        <v>0</v>
      </c>
      <c r="J1200">
        <v>0</v>
      </c>
      <c r="K1200">
        <v>0</v>
      </c>
      <c r="L1200">
        <v>0</v>
      </c>
      <c r="M1200">
        <v>0</v>
      </c>
      <c r="N1200">
        <v>0</v>
      </c>
      <c r="O1200">
        <v>0</v>
      </c>
      <c r="P1200" s="5">
        <f t="shared" si="214"/>
        <v>0</v>
      </c>
      <c r="Q1200">
        <f t="shared" si="203"/>
        <v>0</v>
      </c>
      <c r="R1200">
        <f t="shared" si="204"/>
        <v>0</v>
      </c>
      <c r="S1200">
        <f t="shared" si="205"/>
        <v>0</v>
      </c>
      <c r="T1200">
        <f t="shared" si="206"/>
        <v>0</v>
      </c>
      <c r="U1200">
        <f t="shared" si="207"/>
        <v>0</v>
      </c>
      <c r="V1200">
        <f t="shared" si="208"/>
        <v>0</v>
      </c>
      <c r="W1200">
        <f t="shared" si="209"/>
        <v>0</v>
      </c>
      <c r="X1200">
        <f t="shared" si="210"/>
        <v>0</v>
      </c>
      <c r="Y1200">
        <f t="shared" si="211"/>
        <v>0</v>
      </c>
      <c r="Z1200">
        <f t="shared" si="212"/>
        <v>0</v>
      </c>
      <c r="AA1200" t="str">
        <f>INDEX('Priority activities'!$D$5:$D$86,MATCH('Database for analysis'!C1200,'Priority activities'!$C$5:$C$86,0))</f>
        <v>n/a</v>
      </c>
    </row>
    <row r="1201" spans="2:27" ht="16.5" thickTop="1" thickBot="1" x14ac:dyDescent="0.3">
      <c r="B1201" t="s">
        <v>195</v>
      </c>
      <c r="C1201" s="22" t="str">
        <f>'Costing inputs'!$C$248</f>
        <v>Establish health system capacity (SDA1.1)</v>
      </c>
      <c r="D1201" s="22">
        <f>'Costing inputs'!$U$248</f>
        <v>0</v>
      </c>
      <c r="E1201" s="22">
        <f>'Regional splits'!$Q$14</f>
        <v>0</v>
      </c>
      <c r="F1201">
        <v>0</v>
      </c>
      <c r="G1201">
        <v>0</v>
      </c>
      <c r="H1201">
        <v>0</v>
      </c>
      <c r="I1201">
        <v>0</v>
      </c>
      <c r="J1201">
        <v>0</v>
      </c>
      <c r="K1201">
        <v>0</v>
      </c>
      <c r="L1201">
        <v>0</v>
      </c>
      <c r="M1201">
        <v>0</v>
      </c>
      <c r="N1201">
        <v>0</v>
      </c>
      <c r="O1201">
        <v>0</v>
      </c>
      <c r="P1201" s="5">
        <f t="shared" si="214"/>
        <v>0</v>
      </c>
      <c r="Q1201">
        <f t="shared" si="203"/>
        <v>0</v>
      </c>
      <c r="R1201">
        <f t="shared" si="204"/>
        <v>0</v>
      </c>
      <c r="S1201">
        <f t="shared" si="205"/>
        <v>0</v>
      </c>
      <c r="T1201">
        <f t="shared" si="206"/>
        <v>0</v>
      </c>
      <c r="U1201">
        <f t="shared" si="207"/>
        <v>0</v>
      </c>
      <c r="V1201">
        <f t="shared" si="208"/>
        <v>0</v>
      </c>
      <c r="W1201">
        <f t="shared" si="209"/>
        <v>0</v>
      </c>
      <c r="X1201">
        <f t="shared" si="210"/>
        <v>0</v>
      </c>
      <c r="Y1201">
        <f t="shared" si="211"/>
        <v>0</v>
      </c>
      <c r="Z1201">
        <f t="shared" si="212"/>
        <v>0</v>
      </c>
      <c r="AA1201" t="str">
        <f>INDEX('Priority activities'!$D$5:$D$86,MATCH('Database for analysis'!C1201,'Priority activities'!$C$5:$C$86,0))</f>
        <v>n/a</v>
      </c>
    </row>
    <row r="1202" spans="2:27" ht="16.5" thickTop="1" thickBot="1" x14ac:dyDescent="0.3">
      <c r="B1202" t="s">
        <v>195</v>
      </c>
      <c r="C1202" s="22" t="str">
        <f>'Costing inputs'!$C$248</f>
        <v>Establish health system capacity (SDA1.1)</v>
      </c>
      <c r="D1202" s="22">
        <f>'Costing inputs'!$U$248</f>
        <v>0</v>
      </c>
      <c r="E1202" s="22" t="str">
        <f>'Regional splits'!$R$14</f>
        <v>National-level</v>
      </c>
      <c r="F1202">
        <v>0</v>
      </c>
      <c r="G1202">
        <v>0</v>
      </c>
      <c r="H1202">
        <v>0</v>
      </c>
      <c r="I1202">
        <v>0</v>
      </c>
      <c r="J1202">
        <v>0</v>
      </c>
      <c r="K1202">
        <v>0</v>
      </c>
      <c r="L1202">
        <v>0</v>
      </c>
      <c r="M1202">
        <v>0</v>
      </c>
      <c r="N1202">
        <v>0</v>
      </c>
      <c r="O1202">
        <v>0</v>
      </c>
      <c r="P1202" s="5">
        <f t="shared" si="214"/>
        <v>0</v>
      </c>
      <c r="Q1202">
        <f t="shared" si="203"/>
        <v>0</v>
      </c>
      <c r="R1202">
        <f t="shared" si="204"/>
        <v>0</v>
      </c>
      <c r="S1202">
        <f t="shared" si="205"/>
        <v>0</v>
      </c>
      <c r="T1202">
        <f t="shared" si="206"/>
        <v>0</v>
      </c>
      <c r="U1202">
        <f t="shared" si="207"/>
        <v>0</v>
      </c>
      <c r="V1202">
        <f t="shared" si="208"/>
        <v>0</v>
      </c>
      <c r="W1202">
        <f t="shared" si="209"/>
        <v>0</v>
      </c>
      <c r="X1202">
        <f t="shared" si="210"/>
        <v>0</v>
      </c>
      <c r="Y1202">
        <f t="shared" si="211"/>
        <v>0</v>
      </c>
      <c r="Z1202">
        <f t="shared" si="212"/>
        <v>0</v>
      </c>
      <c r="AA1202" t="str">
        <f>INDEX('Priority activities'!$D$5:$D$86,MATCH('Database for analysis'!C1202,'Priority activities'!$C$5:$C$86,0))</f>
        <v>n/a</v>
      </c>
    </row>
    <row r="1203" spans="2:27" ht="16.5" thickTop="1" thickBot="1" x14ac:dyDescent="0.3">
      <c r="B1203" t="s">
        <v>195</v>
      </c>
      <c r="C1203" s="22" t="str">
        <f>'Costing inputs'!$C$262</f>
        <v>On-the-job skills updates (SDA4.2)</v>
      </c>
      <c r="D1203" s="22" t="str">
        <f>'Costing inputs'!$U$262</f>
        <v>Health facilities (service delivery points)</v>
      </c>
      <c r="E1203" s="22" t="str">
        <f>'Regional splits'!$C$14</f>
        <v>Central</v>
      </c>
      <c r="F1203">
        <f t="array" ref="F1203:O1218">'Costing inputs'!S262*'Costing inputs'!AP262:AY262*TRANSPOSE('Costing inputs'!W262:AL262)</f>
        <v>165997.44</v>
      </c>
      <c r="G1203">
        <v>165997.44</v>
      </c>
      <c r="H1203">
        <v>165997.44</v>
      </c>
      <c r="I1203">
        <v>165997.44</v>
      </c>
      <c r="J1203">
        <v>165997.44</v>
      </c>
      <c r="K1203">
        <v>165997.44</v>
      </c>
      <c r="L1203">
        <v>165997.44</v>
      </c>
      <c r="M1203">
        <v>165997.44</v>
      </c>
      <c r="N1203">
        <v>0</v>
      </c>
      <c r="O1203">
        <v>0</v>
      </c>
      <c r="P1203" s="5">
        <f t="shared" ref="P1203:P1218" si="215">SUMIF(F1203:O1203,"&lt;&gt;#N/A")</f>
        <v>1327979.5199999998</v>
      </c>
      <c r="Q1203">
        <f t="shared" si="203"/>
        <v>165997.44</v>
      </c>
      <c r="R1203">
        <f t="shared" si="204"/>
        <v>165997.44</v>
      </c>
      <c r="S1203">
        <f t="shared" si="205"/>
        <v>165997.44</v>
      </c>
      <c r="T1203">
        <f t="shared" si="206"/>
        <v>165997.44</v>
      </c>
      <c r="U1203">
        <f t="shared" si="207"/>
        <v>165997.44</v>
      </c>
      <c r="V1203">
        <f t="shared" si="208"/>
        <v>165997.44</v>
      </c>
      <c r="W1203">
        <f t="shared" si="209"/>
        <v>165997.44</v>
      </c>
      <c r="X1203">
        <f t="shared" si="210"/>
        <v>165997.44</v>
      </c>
      <c r="Y1203">
        <f t="shared" si="211"/>
        <v>0</v>
      </c>
      <c r="Z1203">
        <f t="shared" si="212"/>
        <v>0</v>
      </c>
      <c r="AA1203" t="str">
        <f>INDEX('Priority activities'!$D$5:$D$86,MATCH('Database for analysis'!C1203,'Priority activities'!$C$5:$C$86,0))</f>
        <v>Staff and training</v>
      </c>
    </row>
    <row r="1204" spans="2:27" ht="16.5" thickTop="1" thickBot="1" x14ac:dyDescent="0.3">
      <c r="B1204" t="s">
        <v>195</v>
      </c>
      <c r="C1204" s="22" t="str">
        <f>'Costing inputs'!$C$262</f>
        <v>On-the-job skills updates (SDA4.2)</v>
      </c>
      <c r="D1204" s="22" t="str">
        <f>'Costing inputs'!$U$262</f>
        <v>Health facilities (service delivery points)</v>
      </c>
      <c r="E1204" s="22" t="str">
        <f>'Regional splits'!$D$14</f>
        <v>Copperbelt</v>
      </c>
      <c r="F1204">
        <v>198274.72</v>
      </c>
      <c r="G1204">
        <v>198274.72</v>
      </c>
      <c r="H1204">
        <v>198274.72</v>
      </c>
      <c r="I1204">
        <v>198274.72</v>
      </c>
      <c r="J1204">
        <v>198274.72</v>
      </c>
      <c r="K1204">
        <v>198274.72</v>
      </c>
      <c r="L1204">
        <v>198274.72</v>
      </c>
      <c r="M1204">
        <v>198274.72</v>
      </c>
      <c r="N1204">
        <v>0</v>
      </c>
      <c r="O1204">
        <v>0</v>
      </c>
      <c r="P1204" s="5">
        <f t="shared" si="215"/>
        <v>1586197.76</v>
      </c>
      <c r="Q1204">
        <f t="shared" si="203"/>
        <v>198274.72</v>
      </c>
      <c r="R1204">
        <f t="shared" si="204"/>
        <v>198274.72</v>
      </c>
      <c r="S1204">
        <f t="shared" si="205"/>
        <v>198274.72</v>
      </c>
      <c r="T1204">
        <f t="shared" si="206"/>
        <v>198274.72</v>
      </c>
      <c r="U1204">
        <f t="shared" si="207"/>
        <v>198274.72</v>
      </c>
      <c r="V1204">
        <f t="shared" si="208"/>
        <v>198274.72</v>
      </c>
      <c r="W1204">
        <f t="shared" si="209"/>
        <v>198274.72</v>
      </c>
      <c r="X1204">
        <f t="shared" si="210"/>
        <v>198274.72</v>
      </c>
      <c r="Y1204">
        <f t="shared" si="211"/>
        <v>0</v>
      </c>
      <c r="Z1204">
        <f t="shared" si="212"/>
        <v>0</v>
      </c>
      <c r="AA1204" t="str">
        <f>INDEX('Priority activities'!$D$5:$D$86,MATCH('Database for analysis'!C1204,'Priority activities'!$C$5:$C$86,0))</f>
        <v>Staff and training</v>
      </c>
    </row>
    <row r="1205" spans="2:27" ht="16.5" thickTop="1" thickBot="1" x14ac:dyDescent="0.3">
      <c r="B1205" t="s">
        <v>195</v>
      </c>
      <c r="C1205" s="22" t="str">
        <f>'Costing inputs'!$C$262</f>
        <v>On-the-job skills updates (SDA4.2)</v>
      </c>
      <c r="D1205" s="22" t="str">
        <f>'Costing inputs'!$U$262</f>
        <v>Health facilities (service delivery points)</v>
      </c>
      <c r="E1205" s="22" t="str">
        <f>'Regional splits'!$E$14</f>
        <v>Eastern</v>
      </c>
      <c r="F1205">
        <v>180752.76799999998</v>
      </c>
      <c r="G1205">
        <v>180752.76799999998</v>
      </c>
      <c r="H1205">
        <v>180752.76799999998</v>
      </c>
      <c r="I1205">
        <v>180752.76799999998</v>
      </c>
      <c r="J1205">
        <v>180752.76799999998</v>
      </c>
      <c r="K1205">
        <v>180752.76799999998</v>
      </c>
      <c r="L1205">
        <v>180752.76799999998</v>
      </c>
      <c r="M1205">
        <v>180752.76799999998</v>
      </c>
      <c r="N1205">
        <v>0</v>
      </c>
      <c r="O1205">
        <v>0</v>
      </c>
      <c r="P1205" s="5">
        <f t="shared" si="215"/>
        <v>1446022.1439999996</v>
      </c>
      <c r="Q1205">
        <f t="shared" si="203"/>
        <v>180752.76799999998</v>
      </c>
      <c r="R1205">
        <f t="shared" si="204"/>
        <v>180752.76799999998</v>
      </c>
      <c r="S1205">
        <f t="shared" si="205"/>
        <v>180752.76799999998</v>
      </c>
      <c r="T1205">
        <f t="shared" si="206"/>
        <v>180752.76799999998</v>
      </c>
      <c r="U1205">
        <f t="shared" si="207"/>
        <v>180752.76799999998</v>
      </c>
      <c r="V1205">
        <f t="shared" si="208"/>
        <v>180752.76799999998</v>
      </c>
      <c r="W1205">
        <f t="shared" si="209"/>
        <v>180752.76799999998</v>
      </c>
      <c r="X1205">
        <f t="shared" si="210"/>
        <v>180752.76799999998</v>
      </c>
      <c r="Y1205">
        <f t="shared" si="211"/>
        <v>0</v>
      </c>
      <c r="Z1205">
        <f t="shared" si="212"/>
        <v>0</v>
      </c>
      <c r="AA1205" t="str">
        <f>INDEX('Priority activities'!$D$5:$D$86,MATCH('Database for analysis'!C1205,'Priority activities'!$C$5:$C$86,0))</f>
        <v>Staff and training</v>
      </c>
    </row>
    <row r="1206" spans="2:27" ht="16.5" thickTop="1" thickBot="1" x14ac:dyDescent="0.3">
      <c r="B1206" t="s">
        <v>195</v>
      </c>
      <c r="C1206" s="22" t="str">
        <f>'Costing inputs'!$C$262</f>
        <v>On-the-job skills updates (SDA4.2)</v>
      </c>
      <c r="D1206" s="22" t="str">
        <f>'Costing inputs'!$U$262</f>
        <v>Health facilities (service delivery points)</v>
      </c>
      <c r="E1206" s="22" t="str">
        <f>'Regional splits'!$F$14</f>
        <v>Luapula</v>
      </c>
      <c r="F1206">
        <v>125420.288</v>
      </c>
      <c r="G1206">
        <v>125420.288</v>
      </c>
      <c r="H1206">
        <v>125420.288</v>
      </c>
      <c r="I1206">
        <v>125420.288</v>
      </c>
      <c r="J1206">
        <v>125420.288</v>
      </c>
      <c r="K1206">
        <v>125420.288</v>
      </c>
      <c r="L1206">
        <v>125420.288</v>
      </c>
      <c r="M1206">
        <v>125420.288</v>
      </c>
      <c r="N1206">
        <v>0</v>
      </c>
      <c r="O1206">
        <v>0</v>
      </c>
      <c r="P1206" s="5">
        <f t="shared" si="215"/>
        <v>1003362.3039999998</v>
      </c>
      <c r="Q1206">
        <f t="shared" si="203"/>
        <v>125420.288</v>
      </c>
      <c r="R1206">
        <f t="shared" si="204"/>
        <v>125420.288</v>
      </c>
      <c r="S1206">
        <f t="shared" si="205"/>
        <v>125420.288</v>
      </c>
      <c r="T1206">
        <f t="shared" si="206"/>
        <v>125420.288</v>
      </c>
      <c r="U1206">
        <f t="shared" si="207"/>
        <v>125420.288</v>
      </c>
      <c r="V1206">
        <f t="shared" si="208"/>
        <v>125420.288</v>
      </c>
      <c r="W1206">
        <f t="shared" si="209"/>
        <v>125420.288</v>
      </c>
      <c r="X1206">
        <f t="shared" si="210"/>
        <v>125420.288</v>
      </c>
      <c r="Y1206">
        <f t="shared" si="211"/>
        <v>0</v>
      </c>
      <c r="Z1206">
        <f t="shared" si="212"/>
        <v>0</v>
      </c>
      <c r="AA1206" t="str">
        <f>INDEX('Priority activities'!$D$5:$D$86,MATCH('Database for analysis'!C1206,'Priority activities'!$C$5:$C$86,0))</f>
        <v>Staff and training</v>
      </c>
    </row>
    <row r="1207" spans="2:27" ht="16.5" thickTop="1" thickBot="1" x14ac:dyDescent="0.3">
      <c r="B1207" t="s">
        <v>195</v>
      </c>
      <c r="C1207" s="22" t="str">
        <f>'Costing inputs'!$C$262</f>
        <v>On-the-job skills updates (SDA4.2)</v>
      </c>
      <c r="D1207" s="22" t="str">
        <f>'Costing inputs'!$U$262</f>
        <v>Health facilities (service delivery points)</v>
      </c>
      <c r="E1207" s="22" t="str">
        <f>'Regional splits'!$G$14</f>
        <v>Lusaka</v>
      </c>
      <c r="F1207">
        <v>240696.288</v>
      </c>
      <c r="G1207">
        <v>240696.288</v>
      </c>
      <c r="H1207">
        <v>240696.288</v>
      </c>
      <c r="I1207">
        <v>240696.288</v>
      </c>
      <c r="J1207">
        <v>240696.288</v>
      </c>
      <c r="K1207">
        <v>240696.288</v>
      </c>
      <c r="L1207">
        <v>240696.288</v>
      </c>
      <c r="M1207">
        <v>240696.288</v>
      </c>
      <c r="N1207">
        <v>0</v>
      </c>
      <c r="O1207">
        <v>0</v>
      </c>
      <c r="P1207" s="5">
        <f t="shared" si="215"/>
        <v>1925570.3039999998</v>
      </c>
      <c r="Q1207">
        <f t="shared" si="203"/>
        <v>240696.288</v>
      </c>
      <c r="R1207">
        <f t="shared" si="204"/>
        <v>240696.288</v>
      </c>
      <c r="S1207">
        <f t="shared" si="205"/>
        <v>240696.288</v>
      </c>
      <c r="T1207">
        <f t="shared" si="206"/>
        <v>240696.288</v>
      </c>
      <c r="U1207">
        <f t="shared" si="207"/>
        <v>240696.288</v>
      </c>
      <c r="V1207">
        <f t="shared" si="208"/>
        <v>240696.288</v>
      </c>
      <c r="W1207">
        <f t="shared" si="209"/>
        <v>240696.288</v>
      </c>
      <c r="X1207">
        <f t="shared" si="210"/>
        <v>240696.288</v>
      </c>
      <c r="Y1207">
        <f t="shared" si="211"/>
        <v>0</v>
      </c>
      <c r="Z1207">
        <f t="shared" si="212"/>
        <v>0</v>
      </c>
      <c r="AA1207" t="str">
        <f>INDEX('Priority activities'!$D$5:$D$86,MATCH('Database for analysis'!C1207,'Priority activities'!$C$5:$C$86,0))</f>
        <v>Staff and training</v>
      </c>
    </row>
    <row r="1208" spans="2:27" ht="16.5" thickTop="1" thickBot="1" x14ac:dyDescent="0.3">
      <c r="B1208" t="s">
        <v>195</v>
      </c>
      <c r="C1208" s="22" t="str">
        <f>'Costing inputs'!$C$262</f>
        <v>On-the-job skills updates (SDA4.2)</v>
      </c>
      <c r="D1208" s="22" t="str">
        <f>'Costing inputs'!$U$262</f>
        <v>Health facilities (service delivery points)</v>
      </c>
      <c r="E1208" s="22" t="str">
        <f>'Regional splits'!$H$14</f>
        <v>Muchinga</v>
      </c>
      <c r="F1208">
        <v>86687.551999999996</v>
      </c>
      <c r="G1208">
        <v>86687.551999999996</v>
      </c>
      <c r="H1208">
        <v>86687.551999999996</v>
      </c>
      <c r="I1208">
        <v>86687.551999999996</v>
      </c>
      <c r="J1208">
        <v>86687.551999999996</v>
      </c>
      <c r="K1208">
        <v>86687.551999999996</v>
      </c>
      <c r="L1208">
        <v>86687.551999999996</v>
      </c>
      <c r="M1208">
        <v>86687.551999999996</v>
      </c>
      <c r="N1208">
        <v>0</v>
      </c>
      <c r="O1208">
        <v>0</v>
      </c>
      <c r="P1208" s="5">
        <f t="shared" si="215"/>
        <v>693500.41600000008</v>
      </c>
      <c r="Q1208">
        <f t="shared" si="203"/>
        <v>86687.551999999996</v>
      </c>
      <c r="R1208">
        <f t="shared" si="204"/>
        <v>86687.551999999996</v>
      </c>
      <c r="S1208">
        <f t="shared" si="205"/>
        <v>86687.551999999996</v>
      </c>
      <c r="T1208">
        <f t="shared" si="206"/>
        <v>86687.551999999996</v>
      </c>
      <c r="U1208">
        <f t="shared" si="207"/>
        <v>86687.551999999996</v>
      </c>
      <c r="V1208">
        <f t="shared" si="208"/>
        <v>86687.551999999996</v>
      </c>
      <c r="W1208">
        <f t="shared" si="209"/>
        <v>86687.551999999996</v>
      </c>
      <c r="X1208">
        <f t="shared" si="210"/>
        <v>86687.551999999996</v>
      </c>
      <c r="Y1208">
        <f t="shared" si="211"/>
        <v>0</v>
      </c>
      <c r="Z1208">
        <f t="shared" si="212"/>
        <v>0</v>
      </c>
      <c r="AA1208" t="str">
        <f>INDEX('Priority activities'!$D$5:$D$86,MATCH('Database for analysis'!C1208,'Priority activities'!$C$5:$C$86,0))</f>
        <v>Staff and training</v>
      </c>
    </row>
    <row r="1209" spans="2:27" ht="16.5" thickTop="1" thickBot="1" x14ac:dyDescent="0.3">
      <c r="B1209" t="s">
        <v>195</v>
      </c>
      <c r="C1209" s="22" t="str">
        <f>'Costing inputs'!$C$262</f>
        <v>On-the-job skills updates (SDA4.2)</v>
      </c>
      <c r="D1209" s="22" t="str">
        <f>'Costing inputs'!$U$262</f>
        <v>Health facilities (service delivery points)</v>
      </c>
      <c r="E1209" s="22" t="str">
        <f>'Regional splits'!$I$14</f>
        <v>Northern</v>
      </c>
      <c r="F1209">
        <v>124498.08</v>
      </c>
      <c r="G1209">
        <v>124498.08</v>
      </c>
      <c r="H1209">
        <v>124498.08</v>
      </c>
      <c r="I1209">
        <v>124498.08</v>
      </c>
      <c r="J1209">
        <v>124498.08</v>
      </c>
      <c r="K1209">
        <v>124498.08</v>
      </c>
      <c r="L1209">
        <v>124498.08</v>
      </c>
      <c r="M1209">
        <v>124498.08</v>
      </c>
      <c r="N1209">
        <v>0</v>
      </c>
      <c r="O1209">
        <v>0</v>
      </c>
      <c r="P1209" s="5">
        <f t="shared" si="215"/>
        <v>995984.6399999999</v>
      </c>
      <c r="Q1209">
        <f t="shared" si="203"/>
        <v>124498.08</v>
      </c>
      <c r="R1209">
        <f t="shared" si="204"/>
        <v>124498.08</v>
      </c>
      <c r="S1209">
        <f t="shared" si="205"/>
        <v>124498.08</v>
      </c>
      <c r="T1209">
        <f t="shared" si="206"/>
        <v>124498.08</v>
      </c>
      <c r="U1209">
        <f t="shared" si="207"/>
        <v>124498.08</v>
      </c>
      <c r="V1209">
        <f t="shared" si="208"/>
        <v>124498.08</v>
      </c>
      <c r="W1209">
        <f t="shared" si="209"/>
        <v>124498.08</v>
      </c>
      <c r="X1209">
        <f t="shared" si="210"/>
        <v>124498.08</v>
      </c>
      <c r="Y1209">
        <f t="shared" si="211"/>
        <v>0</v>
      </c>
      <c r="Z1209">
        <f t="shared" si="212"/>
        <v>0</v>
      </c>
      <c r="AA1209" t="str">
        <f>INDEX('Priority activities'!$D$5:$D$86,MATCH('Database for analysis'!C1209,'Priority activities'!$C$5:$C$86,0))</f>
        <v>Staff and training</v>
      </c>
    </row>
    <row r="1210" spans="2:27" ht="16.5" thickTop="1" thickBot="1" x14ac:dyDescent="0.3">
      <c r="B1210" t="s">
        <v>195</v>
      </c>
      <c r="C1210" s="22" t="str">
        <f>'Costing inputs'!$C$262</f>
        <v>On-the-job skills updates (SDA4.2)</v>
      </c>
      <c r="D1210" s="22" t="str">
        <f>'Costing inputs'!$U$262</f>
        <v>Health facilities (service delivery points)</v>
      </c>
      <c r="E1210" s="22" t="str">
        <f>'Regional splits'!$J$14</f>
        <v>North Western</v>
      </c>
      <c r="F1210">
        <v>142942.24</v>
      </c>
      <c r="G1210">
        <v>142942.24</v>
      </c>
      <c r="H1210">
        <v>142942.24</v>
      </c>
      <c r="I1210">
        <v>142942.24</v>
      </c>
      <c r="J1210">
        <v>142942.24</v>
      </c>
      <c r="K1210">
        <v>142942.24</v>
      </c>
      <c r="L1210">
        <v>142942.24</v>
      </c>
      <c r="M1210">
        <v>142942.24</v>
      </c>
      <c r="N1210">
        <v>0</v>
      </c>
      <c r="O1210">
        <v>0</v>
      </c>
      <c r="P1210" s="5">
        <f t="shared" si="215"/>
        <v>1143537.92</v>
      </c>
      <c r="Q1210">
        <f t="shared" si="203"/>
        <v>142942.24</v>
      </c>
      <c r="R1210">
        <f t="shared" si="204"/>
        <v>142942.24</v>
      </c>
      <c r="S1210">
        <f t="shared" si="205"/>
        <v>142942.24</v>
      </c>
      <c r="T1210">
        <f t="shared" si="206"/>
        <v>142942.24</v>
      </c>
      <c r="U1210">
        <f t="shared" si="207"/>
        <v>142942.24</v>
      </c>
      <c r="V1210">
        <f t="shared" si="208"/>
        <v>142942.24</v>
      </c>
      <c r="W1210">
        <f t="shared" si="209"/>
        <v>142942.24</v>
      </c>
      <c r="X1210">
        <f t="shared" si="210"/>
        <v>142942.24</v>
      </c>
      <c r="Y1210">
        <f t="shared" si="211"/>
        <v>0</v>
      </c>
      <c r="Z1210">
        <f t="shared" si="212"/>
        <v>0</v>
      </c>
      <c r="AA1210" t="str">
        <f>INDEX('Priority activities'!$D$5:$D$86,MATCH('Database for analysis'!C1210,'Priority activities'!$C$5:$C$86,0))</f>
        <v>Staff and training</v>
      </c>
    </row>
    <row r="1211" spans="2:27" ht="16.5" thickTop="1" thickBot="1" x14ac:dyDescent="0.3">
      <c r="B1211" t="s">
        <v>195</v>
      </c>
      <c r="C1211" s="22" t="str">
        <f>'Costing inputs'!$C$262</f>
        <v>On-the-job skills updates (SDA4.2)</v>
      </c>
      <c r="D1211" s="22" t="str">
        <f>'Costing inputs'!$U$262</f>
        <v>Health facilities (service delivery points)</v>
      </c>
      <c r="E1211" s="22" t="str">
        <f>'Regional splits'!$K$14</f>
        <v>Southern</v>
      </c>
      <c r="F1211">
        <v>219485.50399999999</v>
      </c>
      <c r="G1211">
        <v>219485.50399999999</v>
      </c>
      <c r="H1211">
        <v>219485.50399999999</v>
      </c>
      <c r="I1211">
        <v>219485.50399999999</v>
      </c>
      <c r="J1211">
        <v>219485.50399999999</v>
      </c>
      <c r="K1211">
        <v>219485.50399999999</v>
      </c>
      <c r="L1211">
        <v>219485.50399999999</v>
      </c>
      <c r="M1211">
        <v>219485.50399999999</v>
      </c>
      <c r="N1211">
        <v>0</v>
      </c>
      <c r="O1211">
        <v>0</v>
      </c>
      <c r="P1211" s="5">
        <f t="shared" si="215"/>
        <v>1755884.0319999999</v>
      </c>
      <c r="Q1211">
        <f t="shared" si="203"/>
        <v>219485.50399999999</v>
      </c>
      <c r="R1211">
        <f t="shared" si="204"/>
        <v>219485.50399999999</v>
      </c>
      <c r="S1211">
        <f t="shared" si="205"/>
        <v>219485.50399999999</v>
      </c>
      <c r="T1211">
        <f t="shared" si="206"/>
        <v>219485.50399999999</v>
      </c>
      <c r="U1211">
        <f t="shared" si="207"/>
        <v>219485.50399999999</v>
      </c>
      <c r="V1211">
        <f t="shared" si="208"/>
        <v>219485.50399999999</v>
      </c>
      <c r="W1211">
        <f t="shared" si="209"/>
        <v>219485.50399999999</v>
      </c>
      <c r="X1211">
        <f t="shared" si="210"/>
        <v>219485.50399999999</v>
      </c>
      <c r="Y1211">
        <f t="shared" si="211"/>
        <v>0</v>
      </c>
      <c r="Z1211">
        <f t="shared" si="212"/>
        <v>0</v>
      </c>
      <c r="AA1211" t="str">
        <f>INDEX('Priority activities'!$D$5:$D$86,MATCH('Database for analysis'!C1211,'Priority activities'!$C$5:$C$86,0))</f>
        <v>Staff and training</v>
      </c>
    </row>
    <row r="1212" spans="2:27" ht="16.5" thickTop="1" thickBot="1" x14ac:dyDescent="0.3">
      <c r="B1212" t="s">
        <v>195</v>
      </c>
      <c r="C1212" s="22" t="str">
        <f>'Costing inputs'!$C$262</f>
        <v>On-the-job skills updates (SDA4.2)</v>
      </c>
      <c r="D1212" s="22" t="str">
        <f>'Costing inputs'!$U$262</f>
        <v>Health facilities (service delivery points)</v>
      </c>
      <c r="E1212" s="22" t="str">
        <f>'Regional splits'!$L$14</f>
        <v>Western</v>
      </c>
      <c r="F1212">
        <v>147553.28</v>
      </c>
      <c r="G1212">
        <v>147553.28</v>
      </c>
      <c r="H1212">
        <v>147553.28</v>
      </c>
      <c r="I1212">
        <v>147553.28</v>
      </c>
      <c r="J1212">
        <v>147553.28</v>
      </c>
      <c r="K1212">
        <v>147553.28</v>
      </c>
      <c r="L1212">
        <v>147553.28</v>
      </c>
      <c r="M1212">
        <v>147553.28</v>
      </c>
      <c r="N1212">
        <v>0</v>
      </c>
      <c r="O1212">
        <v>0</v>
      </c>
      <c r="P1212" s="5">
        <f t="shared" si="215"/>
        <v>1180426.24</v>
      </c>
      <c r="Q1212">
        <f t="shared" si="203"/>
        <v>147553.28</v>
      </c>
      <c r="R1212">
        <f t="shared" si="204"/>
        <v>147553.28</v>
      </c>
      <c r="S1212">
        <f t="shared" si="205"/>
        <v>147553.28</v>
      </c>
      <c r="T1212">
        <f t="shared" si="206"/>
        <v>147553.28</v>
      </c>
      <c r="U1212">
        <f t="shared" si="207"/>
        <v>147553.28</v>
      </c>
      <c r="V1212">
        <f t="shared" si="208"/>
        <v>147553.28</v>
      </c>
      <c r="W1212">
        <f t="shared" si="209"/>
        <v>147553.28</v>
      </c>
      <c r="X1212">
        <f t="shared" si="210"/>
        <v>147553.28</v>
      </c>
      <c r="Y1212">
        <f t="shared" si="211"/>
        <v>0</v>
      </c>
      <c r="Z1212">
        <f t="shared" si="212"/>
        <v>0</v>
      </c>
      <c r="AA1212" t="str">
        <f>INDEX('Priority activities'!$D$5:$D$86,MATCH('Database for analysis'!C1212,'Priority activities'!$C$5:$C$86,0))</f>
        <v>Staff and training</v>
      </c>
    </row>
    <row r="1213" spans="2:27" ht="16.5" thickTop="1" thickBot="1" x14ac:dyDescent="0.3">
      <c r="B1213" t="s">
        <v>195</v>
      </c>
      <c r="C1213" s="22" t="str">
        <f>'Costing inputs'!$C$262</f>
        <v>On-the-job skills updates (SDA4.2)</v>
      </c>
      <c r="D1213" s="22" t="str">
        <f>'Costing inputs'!$U$262</f>
        <v>Health facilities (service delivery points)</v>
      </c>
      <c r="E1213" s="22">
        <f>'Regional splits'!$M$14</f>
        <v>0</v>
      </c>
      <c r="F1213">
        <v>0</v>
      </c>
      <c r="G1213">
        <v>0</v>
      </c>
      <c r="H1213">
        <v>0</v>
      </c>
      <c r="I1213">
        <v>0</v>
      </c>
      <c r="J1213">
        <v>0</v>
      </c>
      <c r="K1213">
        <v>0</v>
      </c>
      <c r="L1213">
        <v>0</v>
      </c>
      <c r="M1213">
        <v>0</v>
      </c>
      <c r="N1213">
        <v>0</v>
      </c>
      <c r="O1213">
        <v>0</v>
      </c>
      <c r="P1213" s="5">
        <f t="shared" si="215"/>
        <v>0</v>
      </c>
      <c r="Q1213">
        <f t="shared" si="203"/>
        <v>0</v>
      </c>
      <c r="R1213">
        <f t="shared" si="204"/>
        <v>0</v>
      </c>
      <c r="S1213">
        <f t="shared" si="205"/>
        <v>0</v>
      </c>
      <c r="T1213">
        <f t="shared" si="206"/>
        <v>0</v>
      </c>
      <c r="U1213">
        <f t="shared" si="207"/>
        <v>0</v>
      </c>
      <c r="V1213">
        <f t="shared" si="208"/>
        <v>0</v>
      </c>
      <c r="W1213">
        <f t="shared" si="209"/>
        <v>0</v>
      </c>
      <c r="X1213">
        <f t="shared" si="210"/>
        <v>0</v>
      </c>
      <c r="Y1213">
        <f t="shared" si="211"/>
        <v>0</v>
      </c>
      <c r="Z1213">
        <f t="shared" si="212"/>
        <v>0</v>
      </c>
      <c r="AA1213" t="str">
        <f>INDEX('Priority activities'!$D$5:$D$86,MATCH('Database for analysis'!C1213,'Priority activities'!$C$5:$C$86,0))</f>
        <v>Staff and training</v>
      </c>
    </row>
    <row r="1214" spans="2:27" ht="16.5" thickTop="1" thickBot="1" x14ac:dyDescent="0.3">
      <c r="B1214" t="s">
        <v>195</v>
      </c>
      <c r="C1214" s="22" t="str">
        <f>'Costing inputs'!$C$262</f>
        <v>On-the-job skills updates (SDA4.2)</v>
      </c>
      <c r="D1214" s="22" t="str">
        <f>'Costing inputs'!$U$262</f>
        <v>Health facilities (service delivery points)</v>
      </c>
      <c r="E1214" s="22">
        <f>'Regional splits'!$N$14</f>
        <v>0</v>
      </c>
      <c r="F1214">
        <v>0</v>
      </c>
      <c r="G1214">
        <v>0</v>
      </c>
      <c r="H1214">
        <v>0</v>
      </c>
      <c r="I1214">
        <v>0</v>
      </c>
      <c r="J1214">
        <v>0</v>
      </c>
      <c r="K1214">
        <v>0</v>
      </c>
      <c r="L1214">
        <v>0</v>
      </c>
      <c r="M1214">
        <v>0</v>
      </c>
      <c r="N1214">
        <v>0</v>
      </c>
      <c r="O1214">
        <v>0</v>
      </c>
      <c r="P1214" s="5">
        <f t="shared" si="215"/>
        <v>0</v>
      </c>
      <c r="Q1214">
        <f t="shared" si="203"/>
        <v>0</v>
      </c>
      <c r="R1214">
        <f t="shared" si="204"/>
        <v>0</v>
      </c>
      <c r="S1214">
        <f t="shared" si="205"/>
        <v>0</v>
      </c>
      <c r="T1214">
        <f t="shared" si="206"/>
        <v>0</v>
      </c>
      <c r="U1214">
        <f t="shared" si="207"/>
        <v>0</v>
      </c>
      <c r="V1214">
        <f t="shared" si="208"/>
        <v>0</v>
      </c>
      <c r="W1214">
        <f t="shared" si="209"/>
        <v>0</v>
      </c>
      <c r="X1214">
        <f t="shared" si="210"/>
        <v>0</v>
      </c>
      <c r="Y1214">
        <f t="shared" si="211"/>
        <v>0</v>
      </c>
      <c r="Z1214">
        <f t="shared" si="212"/>
        <v>0</v>
      </c>
      <c r="AA1214" t="str">
        <f>INDEX('Priority activities'!$D$5:$D$86,MATCH('Database for analysis'!C1214,'Priority activities'!$C$5:$C$86,0))</f>
        <v>Staff and training</v>
      </c>
    </row>
    <row r="1215" spans="2:27" ht="16.5" thickTop="1" thickBot="1" x14ac:dyDescent="0.3">
      <c r="B1215" t="s">
        <v>195</v>
      </c>
      <c r="C1215" s="22" t="str">
        <f>'Costing inputs'!$C$262</f>
        <v>On-the-job skills updates (SDA4.2)</v>
      </c>
      <c r="D1215" s="22" t="str">
        <f>'Costing inputs'!$U$262</f>
        <v>Health facilities (service delivery points)</v>
      </c>
      <c r="E1215" s="22">
        <f>'Regional splits'!$O$14</f>
        <v>0</v>
      </c>
      <c r="F1215">
        <v>0</v>
      </c>
      <c r="G1215">
        <v>0</v>
      </c>
      <c r="H1215">
        <v>0</v>
      </c>
      <c r="I1215">
        <v>0</v>
      </c>
      <c r="J1215">
        <v>0</v>
      </c>
      <c r="K1215">
        <v>0</v>
      </c>
      <c r="L1215">
        <v>0</v>
      </c>
      <c r="M1215">
        <v>0</v>
      </c>
      <c r="N1215">
        <v>0</v>
      </c>
      <c r="O1215">
        <v>0</v>
      </c>
      <c r="P1215" s="5">
        <f t="shared" si="215"/>
        <v>0</v>
      </c>
      <c r="Q1215">
        <f t="shared" si="203"/>
        <v>0</v>
      </c>
      <c r="R1215">
        <f t="shared" si="204"/>
        <v>0</v>
      </c>
      <c r="S1215">
        <f t="shared" si="205"/>
        <v>0</v>
      </c>
      <c r="T1215">
        <f t="shared" si="206"/>
        <v>0</v>
      </c>
      <c r="U1215">
        <f t="shared" si="207"/>
        <v>0</v>
      </c>
      <c r="V1215">
        <f t="shared" si="208"/>
        <v>0</v>
      </c>
      <c r="W1215">
        <f t="shared" si="209"/>
        <v>0</v>
      </c>
      <c r="X1215">
        <f t="shared" si="210"/>
        <v>0</v>
      </c>
      <c r="Y1215">
        <f t="shared" si="211"/>
        <v>0</v>
      </c>
      <c r="Z1215">
        <f t="shared" si="212"/>
        <v>0</v>
      </c>
      <c r="AA1215" t="str">
        <f>INDEX('Priority activities'!$D$5:$D$86,MATCH('Database for analysis'!C1215,'Priority activities'!$C$5:$C$86,0))</f>
        <v>Staff and training</v>
      </c>
    </row>
    <row r="1216" spans="2:27" ht="16.5" thickTop="1" thickBot="1" x14ac:dyDescent="0.3">
      <c r="B1216" t="s">
        <v>195</v>
      </c>
      <c r="C1216" s="22" t="str">
        <f>'Costing inputs'!$C$262</f>
        <v>On-the-job skills updates (SDA4.2)</v>
      </c>
      <c r="D1216" s="22" t="str">
        <f>'Costing inputs'!$U$262</f>
        <v>Health facilities (service delivery points)</v>
      </c>
      <c r="E1216" s="22">
        <f>'Regional splits'!$P$14</f>
        <v>0</v>
      </c>
      <c r="F1216">
        <v>0</v>
      </c>
      <c r="G1216">
        <v>0</v>
      </c>
      <c r="H1216">
        <v>0</v>
      </c>
      <c r="I1216">
        <v>0</v>
      </c>
      <c r="J1216">
        <v>0</v>
      </c>
      <c r="K1216">
        <v>0</v>
      </c>
      <c r="L1216">
        <v>0</v>
      </c>
      <c r="M1216">
        <v>0</v>
      </c>
      <c r="N1216">
        <v>0</v>
      </c>
      <c r="O1216">
        <v>0</v>
      </c>
      <c r="P1216" s="5">
        <f t="shared" si="215"/>
        <v>0</v>
      </c>
      <c r="Q1216">
        <f t="shared" si="203"/>
        <v>0</v>
      </c>
      <c r="R1216">
        <f t="shared" si="204"/>
        <v>0</v>
      </c>
      <c r="S1216">
        <f t="shared" si="205"/>
        <v>0</v>
      </c>
      <c r="T1216">
        <f t="shared" si="206"/>
        <v>0</v>
      </c>
      <c r="U1216">
        <f t="shared" si="207"/>
        <v>0</v>
      </c>
      <c r="V1216">
        <f t="shared" si="208"/>
        <v>0</v>
      </c>
      <c r="W1216">
        <f t="shared" si="209"/>
        <v>0</v>
      </c>
      <c r="X1216">
        <f t="shared" si="210"/>
        <v>0</v>
      </c>
      <c r="Y1216">
        <f t="shared" si="211"/>
        <v>0</v>
      </c>
      <c r="Z1216">
        <f t="shared" si="212"/>
        <v>0</v>
      </c>
      <c r="AA1216" t="str">
        <f>INDEX('Priority activities'!$D$5:$D$86,MATCH('Database for analysis'!C1216,'Priority activities'!$C$5:$C$86,0))</f>
        <v>Staff and training</v>
      </c>
    </row>
    <row r="1217" spans="2:27" ht="16.5" thickTop="1" thickBot="1" x14ac:dyDescent="0.3">
      <c r="B1217" t="s">
        <v>195</v>
      </c>
      <c r="C1217" s="22" t="str">
        <f>'Costing inputs'!$C$262</f>
        <v>On-the-job skills updates (SDA4.2)</v>
      </c>
      <c r="D1217" s="22" t="str">
        <f>'Costing inputs'!$U$262</f>
        <v>Health facilities (service delivery points)</v>
      </c>
      <c r="E1217" s="22">
        <f>'Regional splits'!$Q$14</f>
        <v>0</v>
      </c>
      <c r="F1217">
        <v>0</v>
      </c>
      <c r="G1217">
        <v>0</v>
      </c>
      <c r="H1217">
        <v>0</v>
      </c>
      <c r="I1217">
        <v>0</v>
      </c>
      <c r="J1217">
        <v>0</v>
      </c>
      <c r="K1217">
        <v>0</v>
      </c>
      <c r="L1217">
        <v>0</v>
      </c>
      <c r="M1217">
        <v>0</v>
      </c>
      <c r="N1217">
        <v>0</v>
      </c>
      <c r="O1217">
        <v>0</v>
      </c>
      <c r="P1217" s="5">
        <f t="shared" si="215"/>
        <v>0</v>
      </c>
      <c r="Q1217">
        <f t="shared" si="203"/>
        <v>0</v>
      </c>
      <c r="R1217">
        <f t="shared" si="204"/>
        <v>0</v>
      </c>
      <c r="S1217">
        <f t="shared" si="205"/>
        <v>0</v>
      </c>
      <c r="T1217">
        <f t="shared" si="206"/>
        <v>0</v>
      </c>
      <c r="U1217">
        <f t="shared" si="207"/>
        <v>0</v>
      </c>
      <c r="V1217">
        <f t="shared" si="208"/>
        <v>0</v>
      </c>
      <c r="W1217">
        <f t="shared" si="209"/>
        <v>0</v>
      </c>
      <c r="X1217">
        <f t="shared" si="210"/>
        <v>0</v>
      </c>
      <c r="Y1217">
        <f t="shared" si="211"/>
        <v>0</v>
      </c>
      <c r="Z1217">
        <f t="shared" si="212"/>
        <v>0</v>
      </c>
      <c r="AA1217" t="str">
        <f>INDEX('Priority activities'!$D$5:$D$86,MATCH('Database for analysis'!C1217,'Priority activities'!$C$5:$C$86,0))</f>
        <v>Staff and training</v>
      </c>
    </row>
    <row r="1218" spans="2:27" ht="16.5" thickTop="1" thickBot="1" x14ac:dyDescent="0.3">
      <c r="B1218" t="s">
        <v>195</v>
      </c>
      <c r="C1218" s="22" t="str">
        <f>'Costing inputs'!$C$262</f>
        <v>On-the-job skills updates (SDA4.2)</v>
      </c>
      <c r="D1218" s="22" t="str">
        <f>'Costing inputs'!$U$262</f>
        <v>Health facilities (service delivery points)</v>
      </c>
      <c r="E1218" s="22" t="str">
        <f>'Regional splits'!$R$14</f>
        <v>National-level</v>
      </c>
      <c r="F1218">
        <v>0</v>
      </c>
      <c r="G1218">
        <v>0</v>
      </c>
      <c r="H1218">
        <v>0</v>
      </c>
      <c r="I1218">
        <v>0</v>
      </c>
      <c r="J1218">
        <v>0</v>
      </c>
      <c r="K1218">
        <v>0</v>
      </c>
      <c r="L1218">
        <v>0</v>
      </c>
      <c r="M1218">
        <v>0</v>
      </c>
      <c r="N1218">
        <v>0</v>
      </c>
      <c r="O1218">
        <v>0</v>
      </c>
      <c r="P1218" s="5">
        <f t="shared" si="215"/>
        <v>0</v>
      </c>
      <c r="Q1218">
        <f t="shared" si="203"/>
        <v>0</v>
      </c>
      <c r="R1218">
        <f t="shared" si="204"/>
        <v>0</v>
      </c>
      <c r="S1218">
        <f t="shared" si="205"/>
        <v>0</v>
      </c>
      <c r="T1218">
        <f t="shared" si="206"/>
        <v>0</v>
      </c>
      <c r="U1218">
        <f t="shared" si="207"/>
        <v>0</v>
      </c>
      <c r="V1218">
        <f t="shared" si="208"/>
        <v>0</v>
      </c>
      <c r="W1218">
        <f t="shared" si="209"/>
        <v>0</v>
      </c>
      <c r="X1218">
        <f t="shared" si="210"/>
        <v>0</v>
      </c>
      <c r="Y1218">
        <f t="shared" si="211"/>
        <v>0</v>
      </c>
      <c r="Z1218">
        <f t="shared" si="212"/>
        <v>0</v>
      </c>
      <c r="AA1218" t="str">
        <f>INDEX('Priority activities'!$D$5:$D$86,MATCH('Database for analysis'!C1218,'Priority activities'!$C$5:$C$86,0))</f>
        <v>Staff and training</v>
      </c>
    </row>
    <row r="1219" spans="2:27" ht="16.5" thickTop="1" thickBot="1" x14ac:dyDescent="0.3">
      <c r="B1219" t="s">
        <v>195</v>
      </c>
      <c r="C1219" s="22" t="str">
        <f>'Costing inputs'!$C$265</f>
        <v>Provincial meeting to explain CBD scale-up (SDA7.2)</v>
      </c>
      <c r="D1219" s="22" t="str">
        <f>'Costing inputs'!$U$265</f>
        <v>Evenly by province/region</v>
      </c>
      <c r="E1219" s="22" t="str">
        <f>'Regional splits'!$C$14</f>
        <v>Central</v>
      </c>
      <c r="F1219">
        <f t="array" ref="F1219:O1234">'Costing inputs'!S265*'Costing inputs'!AP265:AY265*TRANSPOSE('Costing inputs'!W265:AL265)</f>
        <v>0</v>
      </c>
      <c r="G1219">
        <v>8673.2991999999995</v>
      </c>
      <c r="H1219">
        <v>0</v>
      </c>
      <c r="I1219">
        <v>0</v>
      </c>
      <c r="J1219">
        <v>0</v>
      </c>
      <c r="K1219">
        <v>0</v>
      </c>
      <c r="L1219">
        <v>0</v>
      </c>
      <c r="M1219">
        <v>0</v>
      </c>
      <c r="N1219">
        <v>0</v>
      </c>
      <c r="O1219">
        <v>0</v>
      </c>
      <c r="P1219" s="5">
        <f t="shared" ref="P1219:P1234" si="216">SUMIF(F1219:O1219,"&lt;&gt;#N/A")</f>
        <v>8673.2991999999995</v>
      </c>
      <c r="Q1219">
        <f t="shared" si="203"/>
        <v>0</v>
      </c>
      <c r="R1219">
        <f t="shared" si="204"/>
        <v>8673.2991999999995</v>
      </c>
      <c r="S1219">
        <f t="shared" si="205"/>
        <v>0</v>
      </c>
      <c r="T1219">
        <f t="shared" si="206"/>
        <v>0</v>
      </c>
      <c r="U1219">
        <f t="shared" si="207"/>
        <v>0</v>
      </c>
      <c r="V1219">
        <f t="shared" si="208"/>
        <v>0</v>
      </c>
      <c r="W1219">
        <f t="shared" si="209"/>
        <v>0</v>
      </c>
      <c r="X1219">
        <f t="shared" si="210"/>
        <v>0</v>
      </c>
      <c r="Y1219">
        <f t="shared" si="211"/>
        <v>0</v>
      </c>
      <c r="Z1219">
        <f t="shared" si="212"/>
        <v>0</v>
      </c>
      <c r="AA1219" t="str">
        <f>INDEX('Priority activities'!$D$5:$D$86,MATCH('Database for analysis'!C1219,'Priority activities'!$C$5:$C$86,0))</f>
        <v>Rural and underserved access to FP services</v>
      </c>
    </row>
    <row r="1220" spans="2:27" ht="16.5" thickTop="1" thickBot="1" x14ac:dyDescent="0.3">
      <c r="B1220" t="s">
        <v>195</v>
      </c>
      <c r="C1220" s="22" t="str">
        <f>'Costing inputs'!$C$265</f>
        <v>Provincial meeting to explain CBD scale-up (SDA7.2)</v>
      </c>
      <c r="D1220" s="22" t="str">
        <f>'Costing inputs'!$U$265</f>
        <v>Evenly by province/region</v>
      </c>
      <c r="E1220" s="22" t="str">
        <f>'Regional splits'!$D$14</f>
        <v>Copperbelt</v>
      </c>
      <c r="F1220">
        <v>0</v>
      </c>
      <c r="G1220">
        <v>8673.2991999999995</v>
      </c>
      <c r="H1220">
        <v>0</v>
      </c>
      <c r="I1220">
        <v>0</v>
      </c>
      <c r="J1220">
        <v>0</v>
      </c>
      <c r="K1220">
        <v>0</v>
      </c>
      <c r="L1220">
        <v>0</v>
      </c>
      <c r="M1220">
        <v>0</v>
      </c>
      <c r="N1220">
        <v>0</v>
      </c>
      <c r="O1220">
        <v>0</v>
      </c>
      <c r="P1220" s="5">
        <f t="shared" si="216"/>
        <v>8673.2991999999995</v>
      </c>
      <c r="Q1220">
        <f t="shared" ref="Q1220:Q1283" si="217">IF(ISNA(F1220),0,F1220)</f>
        <v>0</v>
      </c>
      <c r="R1220">
        <f t="shared" ref="R1220:R1283" si="218">IF(ISNA(G1220),0,G1220)</f>
        <v>8673.2991999999995</v>
      </c>
      <c r="S1220">
        <f t="shared" ref="S1220:S1283" si="219">IF(ISNA(H1220),0,H1220)</f>
        <v>0</v>
      </c>
      <c r="T1220">
        <f t="shared" ref="T1220:T1283" si="220">IF(ISNA(I1220),0,I1220)</f>
        <v>0</v>
      </c>
      <c r="U1220">
        <f t="shared" ref="U1220:U1283" si="221">IF(ISNA(J1220),0,J1220)</f>
        <v>0</v>
      </c>
      <c r="V1220">
        <f t="shared" ref="V1220:V1283" si="222">IF(ISNA(K1220),0,K1220)</f>
        <v>0</v>
      </c>
      <c r="W1220">
        <f t="shared" ref="W1220:W1283" si="223">IF(ISNA(L1220),0,L1220)</f>
        <v>0</v>
      </c>
      <c r="X1220">
        <f t="shared" ref="X1220:X1283" si="224">IF(ISNA(M1220),0,M1220)</f>
        <v>0</v>
      </c>
      <c r="Y1220">
        <f t="shared" ref="Y1220:Y1283" si="225">IF(ISNA(N1220),0,N1220)</f>
        <v>0</v>
      </c>
      <c r="Z1220">
        <f t="shared" ref="Z1220:Z1283" si="226">IF(ISNA(O1220),0,O1220)</f>
        <v>0</v>
      </c>
      <c r="AA1220" t="str">
        <f>INDEX('Priority activities'!$D$5:$D$86,MATCH('Database for analysis'!C1220,'Priority activities'!$C$5:$C$86,0))</f>
        <v>Rural and underserved access to FP services</v>
      </c>
    </row>
    <row r="1221" spans="2:27" ht="16.5" thickTop="1" thickBot="1" x14ac:dyDescent="0.3">
      <c r="B1221" t="s">
        <v>195</v>
      </c>
      <c r="C1221" s="22" t="str">
        <f>'Costing inputs'!$C$265</f>
        <v>Provincial meeting to explain CBD scale-up (SDA7.2)</v>
      </c>
      <c r="D1221" s="22" t="str">
        <f>'Costing inputs'!$U$265</f>
        <v>Evenly by province/region</v>
      </c>
      <c r="E1221" s="22" t="str">
        <f>'Regional splits'!$E$14</f>
        <v>Eastern</v>
      </c>
      <c r="F1221">
        <v>0</v>
      </c>
      <c r="G1221">
        <v>8673.2991999999995</v>
      </c>
      <c r="H1221">
        <v>0</v>
      </c>
      <c r="I1221">
        <v>0</v>
      </c>
      <c r="J1221">
        <v>0</v>
      </c>
      <c r="K1221">
        <v>0</v>
      </c>
      <c r="L1221">
        <v>0</v>
      </c>
      <c r="M1221">
        <v>0</v>
      </c>
      <c r="N1221">
        <v>0</v>
      </c>
      <c r="O1221">
        <v>0</v>
      </c>
      <c r="P1221" s="5">
        <f t="shared" si="216"/>
        <v>8673.2991999999995</v>
      </c>
      <c r="Q1221">
        <f t="shared" si="217"/>
        <v>0</v>
      </c>
      <c r="R1221">
        <f t="shared" si="218"/>
        <v>8673.2991999999995</v>
      </c>
      <c r="S1221">
        <f t="shared" si="219"/>
        <v>0</v>
      </c>
      <c r="T1221">
        <f t="shared" si="220"/>
        <v>0</v>
      </c>
      <c r="U1221">
        <f t="shared" si="221"/>
        <v>0</v>
      </c>
      <c r="V1221">
        <f t="shared" si="222"/>
        <v>0</v>
      </c>
      <c r="W1221">
        <f t="shared" si="223"/>
        <v>0</v>
      </c>
      <c r="X1221">
        <f t="shared" si="224"/>
        <v>0</v>
      </c>
      <c r="Y1221">
        <f t="shared" si="225"/>
        <v>0</v>
      </c>
      <c r="Z1221">
        <f t="shared" si="226"/>
        <v>0</v>
      </c>
      <c r="AA1221" t="str">
        <f>INDEX('Priority activities'!$D$5:$D$86,MATCH('Database for analysis'!C1221,'Priority activities'!$C$5:$C$86,0))</f>
        <v>Rural and underserved access to FP services</v>
      </c>
    </row>
    <row r="1222" spans="2:27" ht="16.5" thickTop="1" thickBot="1" x14ac:dyDescent="0.3">
      <c r="B1222" t="s">
        <v>195</v>
      </c>
      <c r="C1222" s="22" t="str">
        <f>'Costing inputs'!$C$265</f>
        <v>Provincial meeting to explain CBD scale-up (SDA7.2)</v>
      </c>
      <c r="D1222" s="22" t="str">
        <f>'Costing inputs'!$U$265</f>
        <v>Evenly by province/region</v>
      </c>
      <c r="E1222" s="22" t="str">
        <f>'Regional splits'!$F$14</f>
        <v>Luapula</v>
      </c>
      <c r="F1222">
        <v>0</v>
      </c>
      <c r="G1222">
        <v>8673.2991999999995</v>
      </c>
      <c r="H1222">
        <v>0</v>
      </c>
      <c r="I1222">
        <v>0</v>
      </c>
      <c r="J1222">
        <v>0</v>
      </c>
      <c r="K1222">
        <v>0</v>
      </c>
      <c r="L1222">
        <v>0</v>
      </c>
      <c r="M1222">
        <v>0</v>
      </c>
      <c r="N1222">
        <v>0</v>
      </c>
      <c r="O1222">
        <v>0</v>
      </c>
      <c r="P1222" s="5">
        <f t="shared" si="216"/>
        <v>8673.2991999999995</v>
      </c>
      <c r="Q1222">
        <f t="shared" si="217"/>
        <v>0</v>
      </c>
      <c r="R1222">
        <f t="shared" si="218"/>
        <v>8673.2991999999995</v>
      </c>
      <c r="S1222">
        <f t="shared" si="219"/>
        <v>0</v>
      </c>
      <c r="T1222">
        <f t="shared" si="220"/>
        <v>0</v>
      </c>
      <c r="U1222">
        <f t="shared" si="221"/>
        <v>0</v>
      </c>
      <c r="V1222">
        <f t="shared" si="222"/>
        <v>0</v>
      </c>
      <c r="W1222">
        <f t="shared" si="223"/>
        <v>0</v>
      </c>
      <c r="X1222">
        <f t="shared" si="224"/>
        <v>0</v>
      </c>
      <c r="Y1222">
        <f t="shared" si="225"/>
        <v>0</v>
      </c>
      <c r="Z1222">
        <f t="shared" si="226"/>
        <v>0</v>
      </c>
      <c r="AA1222" t="str">
        <f>INDEX('Priority activities'!$D$5:$D$86,MATCH('Database for analysis'!C1222,'Priority activities'!$C$5:$C$86,0))</f>
        <v>Rural and underserved access to FP services</v>
      </c>
    </row>
    <row r="1223" spans="2:27" ht="16.5" thickTop="1" thickBot="1" x14ac:dyDescent="0.3">
      <c r="B1223" t="s">
        <v>195</v>
      </c>
      <c r="C1223" s="22" t="str">
        <f>'Costing inputs'!$C$265</f>
        <v>Provincial meeting to explain CBD scale-up (SDA7.2)</v>
      </c>
      <c r="D1223" s="22" t="str">
        <f>'Costing inputs'!$U$265</f>
        <v>Evenly by province/region</v>
      </c>
      <c r="E1223" s="22" t="str">
        <f>'Regional splits'!$G$14</f>
        <v>Lusaka</v>
      </c>
      <c r="F1223">
        <v>0</v>
      </c>
      <c r="G1223">
        <v>8673.2991999999995</v>
      </c>
      <c r="H1223">
        <v>0</v>
      </c>
      <c r="I1223">
        <v>0</v>
      </c>
      <c r="J1223">
        <v>0</v>
      </c>
      <c r="K1223">
        <v>0</v>
      </c>
      <c r="L1223">
        <v>0</v>
      </c>
      <c r="M1223">
        <v>0</v>
      </c>
      <c r="N1223">
        <v>0</v>
      </c>
      <c r="O1223">
        <v>0</v>
      </c>
      <c r="P1223" s="5">
        <f t="shared" si="216"/>
        <v>8673.2991999999995</v>
      </c>
      <c r="Q1223">
        <f t="shared" si="217"/>
        <v>0</v>
      </c>
      <c r="R1223">
        <f t="shared" si="218"/>
        <v>8673.2991999999995</v>
      </c>
      <c r="S1223">
        <f t="shared" si="219"/>
        <v>0</v>
      </c>
      <c r="T1223">
        <f t="shared" si="220"/>
        <v>0</v>
      </c>
      <c r="U1223">
        <f t="shared" si="221"/>
        <v>0</v>
      </c>
      <c r="V1223">
        <f t="shared" si="222"/>
        <v>0</v>
      </c>
      <c r="W1223">
        <f t="shared" si="223"/>
        <v>0</v>
      </c>
      <c r="X1223">
        <f t="shared" si="224"/>
        <v>0</v>
      </c>
      <c r="Y1223">
        <f t="shared" si="225"/>
        <v>0</v>
      </c>
      <c r="Z1223">
        <f t="shared" si="226"/>
        <v>0</v>
      </c>
      <c r="AA1223" t="str">
        <f>INDEX('Priority activities'!$D$5:$D$86,MATCH('Database for analysis'!C1223,'Priority activities'!$C$5:$C$86,0))</f>
        <v>Rural and underserved access to FP services</v>
      </c>
    </row>
    <row r="1224" spans="2:27" ht="16.5" thickTop="1" thickBot="1" x14ac:dyDescent="0.3">
      <c r="B1224" t="s">
        <v>195</v>
      </c>
      <c r="C1224" s="22" t="str">
        <f>'Costing inputs'!$C$265</f>
        <v>Provincial meeting to explain CBD scale-up (SDA7.2)</v>
      </c>
      <c r="D1224" s="22" t="str">
        <f>'Costing inputs'!$U$265</f>
        <v>Evenly by province/region</v>
      </c>
      <c r="E1224" s="22" t="str">
        <f>'Regional splits'!$H$14</f>
        <v>Muchinga</v>
      </c>
      <c r="F1224">
        <v>0</v>
      </c>
      <c r="G1224">
        <v>8673.2991999999995</v>
      </c>
      <c r="H1224">
        <v>0</v>
      </c>
      <c r="I1224">
        <v>0</v>
      </c>
      <c r="J1224">
        <v>0</v>
      </c>
      <c r="K1224">
        <v>0</v>
      </c>
      <c r="L1224">
        <v>0</v>
      </c>
      <c r="M1224">
        <v>0</v>
      </c>
      <c r="N1224">
        <v>0</v>
      </c>
      <c r="O1224">
        <v>0</v>
      </c>
      <c r="P1224" s="5">
        <f t="shared" si="216"/>
        <v>8673.2991999999995</v>
      </c>
      <c r="Q1224">
        <f t="shared" si="217"/>
        <v>0</v>
      </c>
      <c r="R1224">
        <f t="shared" si="218"/>
        <v>8673.2991999999995</v>
      </c>
      <c r="S1224">
        <f t="shared" si="219"/>
        <v>0</v>
      </c>
      <c r="T1224">
        <f t="shared" si="220"/>
        <v>0</v>
      </c>
      <c r="U1224">
        <f t="shared" si="221"/>
        <v>0</v>
      </c>
      <c r="V1224">
        <f t="shared" si="222"/>
        <v>0</v>
      </c>
      <c r="W1224">
        <f t="shared" si="223"/>
        <v>0</v>
      </c>
      <c r="X1224">
        <f t="shared" si="224"/>
        <v>0</v>
      </c>
      <c r="Y1224">
        <f t="shared" si="225"/>
        <v>0</v>
      </c>
      <c r="Z1224">
        <f t="shared" si="226"/>
        <v>0</v>
      </c>
      <c r="AA1224" t="str">
        <f>INDEX('Priority activities'!$D$5:$D$86,MATCH('Database for analysis'!C1224,'Priority activities'!$C$5:$C$86,0))</f>
        <v>Rural and underserved access to FP services</v>
      </c>
    </row>
    <row r="1225" spans="2:27" ht="16.5" thickTop="1" thickBot="1" x14ac:dyDescent="0.3">
      <c r="B1225" t="s">
        <v>195</v>
      </c>
      <c r="C1225" s="22" t="str">
        <f>'Costing inputs'!$C$265</f>
        <v>Provincial meeting to explain CBD scale-up (SDA7.2)</v>
      </c>
      <c r="D1225" s="22" t="str">
        <f>'Costing inputs'!$U$265</f>
        <v>Evenly by province/region</v>
      </c>
      <c r="E1225" s="22" t="str">
        <f>'Regional splits'!$I$14</f>
        <v>Northern</v>
      </c>
      <c r="F1225">
        <v>0</v>
      </c>
      <c r="G1225">
        <v>8673.2991999999995</v>
      </c>
      <c r="H1225">
        <v>0</v>
      </c>
      <c r="I1225">
        <v>0</v>
      </c>
      <c r="J1225">
        <v>0</v>
      </c>
      <c r="K1225">
        <v>0</v>
      </c>
      <c r="L1225">
        <v>0</v>
      </c>
      <c r="M1225">
        <v>0</v>
      </c>
      <c r="N1225">
        <v>0</v>
      </c>
      <c r="O1225">
        <v>0</v>
      </c>
      <c r="P1225" s="5">
        <f t="shared" si="216"/>
        <v>8673.2991999999995</v>
      </c>
      <c r="Q1225">
        <f t="shared" si="217"/>
        <v>0</v>
      </c>
      <c r="R1225">
        <f t="shared" si="218"/>
        <v>8673.2991999999995</v>
      </c>
      <c r="S1225">
        <f t="shared" si="219"/>
        <v>0</v>
      </c>
      <c r="T1225">
        <f t="shared" si="220"/>
        <v>0</v>
      </c>
      <c r="U1225">
        <f t="shared" si="221"/>
        <v>0</v>
      </c>
      <c r="V1225">
        <f t="shared" si="222"/>
        <v>0</v>
      </c>
      <c r="W1225">
        <f t="shared" si="223"/>
        <v>0</v>
      </c>
      <c r="X1225">
        <f t="shared" si="224"/>
        <v>0</v>
      </c>
      <c r="Y1225">
        <f t="shared" si="225"/>
        <v>0</v>
      </c>
      <c r="Z1225">
        <f t="shared" si="226"/>
        <v>0</v>
      </c>
      <c r="AA1225" t="str">
        <f>INDEX('Priority activities'!$D$5:$D$86,MATCH('Database for analysis'!C1225,'Priority activities'!$C$5:$C$86,0))</f>
        <v>Rural and underserved access to FP services</v>
      </c>
    </row>
    <row r="1226" spans="2:27" ht="16.5" thickTop="1" thickBot="1" x14ac:dyDescent="0.3">
      <c r="B1226" t="s">
        <v>195</v>
      </c>
      <c r="C1226" s="22" t="str">
        <f>'Costing inputs'!$C$265</f>
        <v>Provincial meeting to explain CBD scale-up (SDA7.2)</v>
      </c>
      <c r="D1226" s="22" t="str">
        <f>'Costing inputs'!$U$265</f>
        <v>Evenly by province/region</v>
      </c>
      <c r="E1226" s="22" t="str">
        <f>'Regional splits'!$J$14</f>
        <v>North Western</v>
      </c>
      <c r="F1226">
        <v>0</v>
      </c>
      <c r="G1226">
        <v>8673.2991999999995</v>
      </c>
      <c r="H1226">
        <v>0</v>
      </c>
      <c r="I1226">
        <v>0</v>
      </c>
      <c r="J1226">
        <v>0</v>
      </c>
      <c r="K1226">
        <v>0</v>
      </c>
      <c r="L1226">
        <v>0</v>
      </c>
      <c r="M1226">
        <v>0</v>
      </c>
      <c r="N1226">
        <v>0</v>
      </c>
      <c r="O1226">
        <v>0</v>
      </c>
      <c r="P1226" s="5">
        <f t="shared" si="216"/>
        <v>8673.2991999999995</v>
      </c>
      <c r="Q1226">
        <f t="shared" si="217"/>
        <v>0</v>
      </c>
      <c r="R1226">
        <f t="shared" si="218"/>
        <v>8673.2991999999995</v>
      </c>
      <c r="S1226">
        <f t="shared" si="219"/>
        <v>0</v>
      </c>
      <c r="T1226">
        <f t="shared" si="220"/>
        <v>0</v>
      </c>
      <c r="U1226">
        <f t="shared" si="221"/>
        <v>0</v>
      </c>
      <c r="V1226">
        <f t="shared" si="222"/>
        <v>0</v>
      </c>
      <c r="W1226">
        <f t="shared" si="223"/>
        <v>0</v>
      </c>
      <c r="X1226">
        <f t="shared" si="224"/>
        <v>0</v>
      </c>
      <c r="Y1226">
        <f t="shared" si="225"/>
        <v>0</v>
      </c>
      <c r="Z1226">
        <f t="shared" si="226"/>
        <v>0</v>
      </c>
      <c r="AA1226" t="str">
        <f>INDEX('Priority activities'!$D$5:$D$86,MATCH('Database for analysis'!C1226,'Priority activities'!$C$5:$C$86,0))</f>
        <v>Rural and underserved access to FP services</v>
      </c>
    </row>
    <row r="1227" spans="2:27" ht="16.5" thickTop="1" thickBot="1" x14ac:dyDescent="0.3">
      <c r="B1227" t="s">
        <v>195</v>
      </c>
      <c r="C1227" s="22" t="str">
        <f>'Costing inputs'!$C$265</f>
        <v>Provincial meeting to explain CBD scale-up (SDA7.2)</v>
      </c>
      <c r="D1227" s="22" t="str">
        <f>'Costing inputs'!$U$265</f>
        <v>Evenly by province/region</v>
      </c>
      <c r="E1227" s="22" t="str">
        <f>'Regional splits'!$K$14</f>
        <v>Southern</v>
      </c>
      <c r="F1227">
        <v>0</v>
      </c>
      <c r="G1227">
        <v>8673.2991999999995</v>
      </c>
      <c r="H1227">
        <v>0</v>
      </c>
      <c r="I1227">
        <v>0</v>
      </c>
      <c r="J1227">
        <v>0</v>
      </c>
      <c r="K1227">
        <v>0</v>
      </c>
      <c r="L1227">
        <v>0</v>
      </c>
      <c r="M1227">
        <v>0</v>
      </c>
      <c r="N1227">
        <v>0</v>
      </c>
      <c r="O1227">
        <v>0</v>
      </c>
      <c r="P1227" s="5">
        <f t="shared" si="216"/>
        <v>8673.2991999999995</v>
      </c>
      <c r="Q1227">
        <f t="shared" si="217"/>
        <v>0</v>
      </c>
      <c r="R1227">
        <f t="shared" si="218"/>
        <v>8673.2991999999995</v>
      </c>
      <c r="S1227">
        <f t="shared" si="219"/>
        <v>0</v>
      </c>
      <c r="T1227">
        <f t="shared" si="220"/>
        <v>0</v>
      </c>
      <c r="U1227">
        <f t="shared" si="221"/>
        <v>0</v>
      </c>
      <c r="V1227">
        <f t="shared" si="222"/>
        <v>0</v>
      </c>
      <c r="W1227">
        <f t="shared" si="223"/>
        <v>0</v>
      </c>
      <c r="X1227">
        <f t="shared" si="224"/>
        <v>0</v>
      </c>
      <c r="Y1227">
        <f t="shared" si="225"/>
        <v>0</v>
      </c>
      <c r="Z1227">
        <f t="shared" si="226"/>
        <v>0</v>
      </c>
      <c r="AA1227" t="str">
        <f>INDEX('Priority activities'!$D$5:$D$86,MATCH('Database for analysis'!C1227,'Priority activities'!$C$5:$C$86,0))</f>
        <v>Rural and underserved access to FP services</v>
      </c>
    </row>
    <row r="1228" spans="2:27" ht="16.5" thickTop="1" thickBot="1" x14ac:dyDescent="0.3">
      <c r="B1228" t="s">
        <v>195</v>
      </c>
      <c r="C1228" s="22" t="str">
        <f>'Costing inputs'!$C$265</f>
        <v>Provincial meeting to explain CBD scale-up (SDA7.2)</v>
      </c>
      <c r="D1228" s="22" t="str">
        <f>'Costing inputs'!$U$265</f>
        <v>Evenly by province/region</v>
      </c>
      <c r="E1228" s="22" t="str">
        <f>'Regional splits'!$L$14</f>
        <v>Western</v>
      </c>
      <c r="F1228">
        <v>0</v>
      </c>
      <c r="G1228">
        <v>8673.2991999999995</v>
      </c>
      <c r="H1228">
        <v>0</v>
      </c>
      <c r="I1228">
        <v>0</v>
      </c>
      <c r="J1228">
        <v>0</v>
      </c>
      <c r="K1228">
        <v>0</v>
      </c>
      <c r="L1228">
        <v>0</v>
      </c>
      <c r="M1228">
        <v>0</v>
      </c>
      <c r="N1228">
        <v>0</v>
      </c>
      <c r="O1228">
        <v>0</v>
      </c>
      <c r="P1228" s="5">
        <f t="shared" si="216"/>
        <v>8673.2991999999995</v>
      </c>
      <c r="Q1228">
        <f t="shared" si="217"/>
        <v>0</v>
      </c>
      <c r="R1228">
        <f t="shared" si="218"/>
        <v>8673.2991999999995</v>
      </c>
      <c r="S1228">
        <f t="shared" si="219"/>
        <v>0</v>
      </c>
      <c r="T1228">
        <f t="shared" si="220"/>
        <v>0</v>
      </c>
      <c r="U1228">
        <f t="shared" si="221"/>
        <v>0</v>
      </c>
      <c r="V1228">
        <f t="shared" si="222"/>
        <v>0</v>
      </c>
      <c r="W1228">
        <f t="shared" si="223"/>
        <v>0</v>
      </c>
      <c r="X1228">
        <f t="shared" si="224"/>
        <v>0</v>
      </c>
      <c r="Y1228">
        <f t="shared" si="225"/>
        <v>0</v>
      </c>
      <c r="Z1228">
        <f t="shared" si="226"/>
        <v>0</v>
      </c>
      <c r="AA1228" t="str">
        <f>INDEX('Priority activities'!$D$5:$D$86,MATCH('Database for analysis'!C1228,'Priority activities'!$C$5:$C$86,0))</f>
        <v>Rural and underserved access to FP services</v>
      </c>
    </row>
    <row r="1229" spans="2:27" ht="16.5" thickTop="1" thickBot="1" x14ac:dyDescent="0.3">
      <c r="B1229" t="s">
        <v>195</v>
      </c>
      <c r="C1229" s="22" t="str">
        <f>'Costing inputs'!$C$265</f>
        <v>Provincial meeting to explain CBD scale-up (SDA7.2)</v>
      </c>
      <c r="D1229" s="22" t="str">
        <f>'Costing inputs'!$U$265</f>
        <v>Evenly by province/region</v>
      </c>
      <c r="E1229" s="22">
        <f>'Regional splits'!$M$14</f>
        <v>0</v>
      </c>
      <c r="F1229">
        <v>0</v>
      </c>
      <c r="G1229">
        <v>0</v>
      </c>
      <c r="H1229">
        <v>0</v>
      </c>
      <c r="I1229">
        <v>0</v>
      </c>
      <c r="J1229">
        <v>0</v>
      </c>
      <c r="K1229">
        <v>0</v>
      </c>
      <c r="L1229">
        <v>0</v>
      </c>
      <c r="M1229">
        <v>0</v>
      </c>
      <c r="N1229">
        <v>0</v>
      </c>
      <c r="O1229">
        <v>0</v>
      </c>
      <c r="P1229" s="5">
        <f t="shared" si="216"/>
        <v>0</v>
      </c>
      <c r="Q1229">
        <f t="shared" si="217"/>
        <v>0</v>
      </c>
      <c r="R1229">
        <f t="shared" si="218"/>
        <v>0</v>
      </c>
      <c r="S1229">
        <f t="shared" si="219"/>
        <v>0</v>
      </c>
      <c r="T1229">
        <f t="shared" si="220"/>
        <v>0</v>
      </c>
      <c r="U1229">
        <f t="shared" si="221"/>
        <v>0</v>
      </c>
      <c r="V1229">
        <f t="shared" si="222"/>
        <v>0</v>
      </c>
      <c r="W1229">
        <f t="shared" si="223"/>
        <v>0</v>
      </c>
      <c r="X1229">
        <f t="shared" si="224"/>
        <v>0</v>
      </c>
      <c r="Y1229">
        <f t="shared" si="225"/>
        <v>0</v>
      </c>
      <c r="Z1229">
        <f t="shared" si="226"/>
        <v>0</v>
      </c>
      <c r="AA1229" t="str">
        <f>INDEX('Priority activities'!$D$5:$D$86,MATCH('Database for analysis'!C1229,'Priority activities'!$C$5:$C$86,0))</f>
        <v>Rural and underserved access to FP services</v>
      </c>
    </row>
    <row r="1230" spans="2:27" ht="16.5" thickTop="1" thickBot="1" x14ac:dyDescent="0.3">
      <c r="B1230" t="s">
        <v>195</v>
      </c>
      <c r="C1230" s="22" t="str">
        <f>'Costing inputs'!$C$265</f>
        <v>Provincial meeting to explain CBD scale-up (SDA7.2)</v>
      </c>
      <c r="D1230" s="22" t="str">
        <f>'Costing inputs'!$U$265</f>
        <v>Evenly by province/region</v>
      </c>
      <c r="E1230" s="22">
        <f>'Regional splits'!$N$14</f>
        <v>0</v>
      </c>
      <c r="F1230">
        <v>0</v>
      </c>
      <c r="G1230">
        <v>0</v>
      </c>
      <c r="H1230">
        <v>0</v>
      </c>
      <c r="I1230">
        <v>0</v>
      </c>
      <c r="J1230">
        <v>0</v>
      </c>
      <c r="K1230">
        <v>0</v>
      </c>
      <c r="L1230">
        <v>0</v>
      </c>
      <c r="M1230">
        <v>0</v>
      </c>
      <c r="N1230">
        <v>0</v>
      </c>
      <c r="O1230">
        <v>0</v>
      </c>
      <c r="P1230" s="5">
        <f t="shared" si="216"/>
        <v>0</v>
      </c>
      <c r="Q1230">
        <f t="shared" si="217"/>
        <v>0</v>
      </c>
      <c r="R1230">
        <f t="shared" si="218"/>
        <v>0</v>
      </c>
      <c r="S1230">
        <f t="shared" si="219"/>
        <v>0</v>
      </c>
      <c r="T1230">
        <f t="shared" si="220"/>
        <v>0</v>
      </c>
      <c r="U1230">
        <f t="shared" si="221"/>
        <v>0</v>
      </c>
      <c r="V1230">
        <f t="shared" si="222"/>
        <v>0</v>
      </c>
      <c r="W1230">
        <f t="shared" si="223"/>
        <v>0</v>
      </c>
      <c r="X1230">
        <f t="shared" si="224"/>
        <v>0</v>
      </c>
      <c r="Y1230">
        <f t="shared" si="225"/>
        <v>0</v>
      </c>
      <c r="Z1230">
        <f t="shared" si="226"/>
        <v>0</v>
      </c>
      <c r="AA1230" t="str">
        <f>INDEX('Priority activities'!$D$5:$D$86,MATCH('Database for analysis'!C1230,'Priority activities'!$C$5:$C$86,0))</f>
        <v>Rural and underserved access to FP services</v>
      </c>
    </row>
    <row r="1231" spans="2:27" ht="16.5" thickTop="1" thickBot="1" x14ac:dyDescent="0.3">
      <c r="B1231" t="s">
        <v>195</v>
      </c>
      <c r="C1231" s="22" t="str">
        <f>'Costing inputs'!$C$265</f>
        <v>Provincial meeting to explain CBD scale-up (SDA7.2)</v>
      </c>
      <c r="D1231" s="22" t="str">
        <f>'Costing inputs'!$U$265</f>
        <v>Evenly by province/region</v>
      </c>
      <c r="E1231" s="22">
        <f>'Regional splits'!$O$14</f>
        <v>0</v>
      </c>
      <c r="F1231">
        <v>0</v>
      </c>
      <c r="G1231">
        <v>0</v>
      </c>
      <c r="H1231">
        <v>0</v>
      </c>
      <c r="I1231">
        <v>0</v>
      </c>
      <c r="J1231">
        <v>0</v>
      </c>
      <c r="K1231">
        <v>0</v>
      </c>
      <c r="L1231">
        <v>0</v>
      </c>
      <c r="M1231">
        <v>0</v>
      </c>
      <c r="N1231">
        <v>0</v>
      </c>
      <c r="O1231">
        <v>0</v>
      </c>
      <c r="P1231" s="5">
        <f t="shared" si="216"/>
        <v>0</v>
      </c>
      <c r="Q1231">
        <f t="shared" si="217"/>
        <v>0</v>
      </c>
      <c r="R1231">
        <f t="shared" si="218"/>
        <v>0</v>
      </c>
      <c r="S1231">
        <f t="shared" si="219"/>
        <v>0</v>
      </c>
      <c r="T1231">
        <f t="shared" si="220"/>
        <v>0</v>
      </c>
      <c r="U1231">
        <f t="shared" si="221"/>
        <v>0</v>
      </c>
      <c r="V1231">
        <f t="shared" si="222"/>
        <v>0</v>
      </c>
      <c r="W1231">
        <f t="shared" si="223"/>
        <v>0</v>
      </c>
      <c r="X1231">
        <f t="shared" si="224"/>
        <v>0</v>
      </c>
      <c r="Y1231">
        <f t="shared" si="225"/>
        <v>0</v>
      </c>
      <c r="Z1231">
        <f t="shared" si="226"/>
        <v>0</v>
      </c>
      <c r="AA1231" t="str">
        <f>INDEX('Priority activities'!$D$5:$D$86,MATCH('Database for analysis'!C1231,'Priority activities'!$C$5:$C$86,0))</f>
        <v>Rural and underserved access to FP services</v>
      </c>
    </row>
    <row r="1232" spans="2:27" ht="16.5" thickTop="1" thickBot="1" x14ac:dyDescent="0.3">
      <c r="B1232" t="s">
        <v>195</v>
      </c>
      <c r="C1232" s="22" t="str">
        <f>'Costing inputs'!$C$265</f>
        <v>Provincial meeting to explain CBD scale-up (SDA7.2)</v>
      </c>
      <c r="D1232" s="22" t="str">
        <f>'Costing inputs'!$U$265</f>
        <v>Evenly by province/region</v>
      </c>
      <c r="E1232" s="22">
        <f>'Regional splits'!$P$14</f>
        <v>0</v>
      </c>
      <c r="F1232">
        <v>0</v>
      </c>
      <c r="G1232">
        <v>0</v>
      </c>
      <c r="H1232">
        <v>0</v>
      </c>
      <c r="I1232">
        <v>0</v>
      </c>
      <c r="J1232">
        <v>0</v>
      </c>
      <c r="K1232">
        <v>0</v>
      </c>
      <c r="L1232">
        <v>0</v>
      </c>
      <c r="M1232">
        <v>0</v>
      </c>
      <c r="N1232">
        <v>0</v>
      </c>
      <c r="O1232">
        <v>0</v>
      </c>
      <c r="P1232" s="5">
        <f t="shared" si="216"/>
        <v>0</v>
      </c>
      <c r="Q1232">
        <f t="shared" si="217"/>
        <v>0</v>
      </c>
      <c r="R1232">
        <f t="shared" si="218"/>
        <v>0</v>
      </c>
      <c r="S1232">
        <f t="shared" si="219"/>
        <v>0</v>
      </c>
      <c r="T1232">
        <f t="shared" si="220"/>
        <v>0</v>
      </c>
      <c r="U1232">
        <f t="shared" si="221"/>
        <v>0</v>
      </c>
      <c r="V1232">
        <f t="shared" si="222"/>
        <v>0</v>
      </c>
      <c r="W1232">
        <f t="shared" si="223"/>
        <v>0</v>
      </c>
      <c r="X1232">
        <f t="shared" si="224"/>
        <v>0</v>
      </c>
      <c r="Y1232">
        <f t="shared" si="225"/>
        <v>0</v>
      </c>
      <c r="Z1232">
        <f t="shared" si="226"/>
        <v>0</v>
      </c>
      <c r="AA1232" t="str">
        <f>INDEX('Priority activities'!$D$5:$D$86,MATCH('Database for analysis'!C1232,'Priority activities'!$C$5:$C$86,0))</f>
        <v>Rural and underserved access to FP services</v>
      </c>
    </row>
    <row r="1233" spans="2:27" ht="16.5" thickTop="1" thickBot="1" x14ac:dyDescent="0.3">
      <c r="B1233" t="s">
        <v>195</v>
      </c>
      <c r="C1233" s="22" t="str">
        <f>'Costing inputs'!$C$265</f>
        <v>Provincial meeting to explain CBD scale-up (SDA7.2)</v>
      </c>
      <c r="D1233" s="22" t="str">
        <f>'Costing inputs'!$U$265</f>
        <v>Evenly by province/region</v>
      </c>
      <c r="E1233" s="22">
        <f>'Regional splits'!$Q$14</f>
        <v>0</v>
      </c>
      <c r="F1233">
        <v>0</v>
      </c>
      <c r="G1233">
        <v>0</v>
      </c>
      <c r="H1233">
        <v>0</v>
      </c>
      <c r="I1233">
        <v>0</v>
      </c>
      <c r="J1233">
        <v>0</v>
      </c>
      <c r="K1233">
        <v>0</v>
      </c>
      <c r="L1233">
        <v>0</v>
      </c>
      <c r="M1233">
        <v>0</v>
      </c>
      <c r="N1233">
        <v>0</v>
      </c>
      <c r="O1233">
        <v>0</v>
      </c>
      <c r="P1233" s="5">
        <f t="shared" si="216"/>
        <v>0</v>
      </c>
      <c r="Q1233">
        <f t="shared" si="217"/>
        <v>0</v>
      </c>
      <c r="R1233">
        <f t="shared" si="218"/>
        <v>0</v>
      </c>
      <c r="S1233">
        <f t="shared" si="219"/>
        <v>0</v>
      </c>
      <c r="T1233">
        <f t="shared" si="220"/>
        <v>0</v>
      </c>
      <c r="U1233">
        <f t="shared" si="221"/>
        <v>0</v>
      </c>
      <c r="V1233">
        <f t="shared" si="222"/>
        <v>0</v>
      </c>
      <c r="W1233">
        <f t="shared" si="223"/>
        <v>0</v>
      </c>
      <c r="X1233">
        <f t="shared" si="224"/>
        <v>0</v>
      </c>
      <c r="Y1233">
        <f t="shared" si="225"/>
        <v>0</v>
      </c>
      <c r="Z1233">
        <f t="shared" si="226"/>
        <v>0</v>
      </c>
      <c r="AA1233" t="str">
        <f>INDEX('Priority activities'!$D$5:$D$86,MATCH('Database for analysis'!C1233,'Priority activities'!$C$5:$C$86,0))</f>
        <v>Rural and underserved access to FP services</v>
      </c>
    </row>
    <row r="1234" spans="2:27" ht="16.5" thickTop="1" thickBot="1" x14ac:dyDescent="0.3">
      <c r="B1234" t="s">
        <v>195</v>
      </c>
      <c r="C1234" s="22" t="str">
        <f>'Costing inputs'!$C$265</f>
        <v>Provincial meeting to explain CBD scale-up (SDA7.2)</v>
      </c>
      <c r="D1234" s="22" t="str">
        <f>'Costing inputs'!$U$265</f>
        <v>Evenly by province/region</v>
      </c>
      <c r="E1234" s="22" t="str">
        <f>'Regional splits'!$R$14</f>
        <v>National-level</v>
      </c>
      <c r="F1234">
        <v>0</v>
      </c>
      <c r="G1234">
        <v>0</v>
      </c>
      <c r="H1234">
        <v>0</v>
      </c>
      <c r="I1234">
        <v>0</v>
      </c>
      <c r="J1234">
        <v>0</v>
      </c>
      <c r="K1234">
        <v>0</v>
      </c>
      <c r="L1234">
        <v>0</v>
      </c>
      <c r="M1234">
        <v>0</v>
      </c>
      <c r="N1234">
        <v>0</v>
      </c>
      <c r="O1234">
        <v>0</v>
      </c>
      <c r="P1234" s="5">
        <f t="shared" si="216"/>
        <v>0</v>
      </c>
      <c r="Q1234">
        <f t="shared" si="217"/>
        <v>0</v>
      </c>
      <c r="R1234">
        <f t="shared" si="218"/>
        <v>0</v>
      </c>
      <c r="S1234">
        <f t="shared" si="219"/>
        <v>0</v>
      </c>
      <c r="T1234">
        <f t="shared" si="220"/>
        <v>0</v>
      </c>
      <c r="U1234">
        <f t="shared" si="221"/>
        <v>0</v>
      </c>
      <c r="V1234">
        <f t="shared" si="222"/>
        <v>0</v>
      </c>
      <c r="W1234">
        <f t="shared" si="223"/>
        <v>0</v>
      </c>
      <c r="X1234">
        <f t="shared" si="224"/>
        <v>0</v>
      </c>
      <c r="Y1234">
        <f t="shared" si="225"/>
        <v>0</v>
      </c>
      <c r="Z1234">
        <f t="shared" si="226"/>
        <v>0</v>
      </c>
      <c r="AA1234" t="str">
        <f>INDEX('Priority activities'!$D$5:$D$86,MATCH('Database for analysis'!C1234,'Priority activities'!$C$5:$C$86,0))</f>
        <v>Rural and underserved access to FP services</v>
      </c>
    </row>
    <row r="1235" spans="2:27" ht="16.5" thickTop="1" thickBot="1" x14ac:dyDescent="0.3">
      <c r="B1235" t="s">
        <v>195</v>
      </c>
      <c r="C1235" s="22" t="str">
        <f>'Costing inputs'!$C$269</f>
        <v>Explore opportunities for public-private partnerships (SDA8.3)</v>
      </c>
      <c r="D1235" s="22" t="str">
        <f>'Costing inputs'!$U$269</f>
        <v>Central level</v>
      </c>
      <c r="E1235" s="22" t="str">
        <f>'Regional splits'!$C$14</f>
        <v>Central</v>
      </c>
      <c r="F1235">
        <f t="array" ref="F1235:O1250">'Costing inputs'!S269*'Costing inputs'!AP269:AY269*TRANSPOSE('Costing inputs'!W269:AL269)</f>
        <v>0</v>
      </c>
      <c r="G1235">
        <v>0</v>
      </c>
      <c r="H1235">
        <v>0</v>
      </c>
      <c r="I1235">
        <v>0</v>
      </c>
      <c r="J1235">
        <v>0</v>
      </c>
      <c r="K1235">
        <v>0</v>
      </c>
      <c r="L1235">
        <v>0</v>
      </c>
      <c r="M1235">
        <v>0</v>
      </c>
      <c r="N1235">
        <v>0</v>
      </c>
      <c r="O1235">
        <v>0</v>
      </c>
      <c r="P1235" s="5">
        <f t="shared" ref="P1235:P1250" si="227">SUMIF(F1235:O1235,"&lt;&gt;#N/A")</f>
        <v>0</v>
      </c>
      <c r="Q1235">
        <f t="shared" si="217"/>
        <v>0</v>
      </c>
      <c r="R1235">
        <f t="shared" si="218"/>
        <v>0</v>
      </c>
      <c r="S1235">
        <f t="shared" si="219"/>
        <v>0</v>
      </c>
      <c r="T1235">
        <f t="shared" si="220"/>
        <v>0</v>
      </c>
      <c r="U1235">
        <f t="shared" si="221"/>
        <v>0</v>
      </c>
      <c r="V1235">
        <f t="shared" si="222"/>
        <v>0</v>
      </c>
      <c r="W1235">
        <f t="shared" si="223"/>
        <v>0</v>
      </c>
      <c r="X1235">
        <f t="shared" si="224"/>
        <v>0</v>
      </c>
      <c r="Y1235">
        <f t="shared" si="225"/>
        <v>0</v>
      </c>
      <c r="Z1235">
        <f t="shared" si="226"/>
        <v>0</v>
      </c>
      <c r="AA1235" t="str">
        <f>INDEX('Priority activities'!$D$5:$D$86,MATCH('Database for analysis'!C1235,'Priority activities'!$C$5:$C$86,0))</f>
        <v>Rural and underserved access to FP services</v>
      </c>
    </row>
    <row r="1236" spans="2:27" ht="16.5" thickTop="1" thickBot="1" x14ac:dyDescent="0.3">
      <c r="B1236" t="s">
        <v>195</v>
      </c>
      <c r="C1236" s="22" t="str">
        <f>'Costing inputs'!$C$269</f>
        <v>Explore opportunities for public-private partnerships (SDA8.3)</v>
      </c>
      <c r="D1236" s="22" t="str">
        <f>'Costing inputs'!$U$269</f>
        <v>Central level</v>
      </c>
      <c r="E1236" s="22" t="str">
        <f>'Regional splits'!$D$14</f>
        <v>Copperbelt</v>
      </c>
      <c r="F1236">
        <v>0</v>
      </c>
      <c r="G1236">
        <v>0</v>
      </c>
      <c r="H1236">
        <v>0</v>
      </c>
      <c r="I1236">
        <v>0</v>
      </c>
      <c r="J1236">
        <v>0</v>
      </c>
      <c r="K1236">
        <v>0</v>
      </c>
      <c r="L1236">
        <v>0</v>
      </c>
      <c r="M1236">
        <v>0</v>
      </c>
      <c r="N1236">
        <v>0</v>
      </c>
      <c r="O1236">
        <v>0</v>
      </c>
      <c r="P1236" s="5">
        <f t="shared" si="227"/>
        <v>0</v>
      </c>
      <c r="Q1236">
        <f t="shared" si="217"/>
        <v>0</v>
      </c>
      <c r="R1236">
        <f t="shared" si="218"/>
        <v>0</v>
      </c>
      <c r="S1236">
        <f t="shared" si="219"/>
        <v>0</v>
      </c>
      <c r="T1236">
        <f t="shared" si="220"/>
        <v>0</v>
      </c>
      <c r="U1236">
        <f t="shared" si="221"/>
        <v>0</v>
      </c>
      <c r="V1236">
        <f t="shared" si="222"/>
        <v>0</v>
      </c>
      <c r="W1236">
        <f t="shared" si="223"/>
        <v>0</v>
      </c>
      <c r="X1236">
        <f t="shared" si="224"/>
        <v>0</v>
      </c>
      <c r="Y1236">
        <f t="shared" si="225"/>
        <v>0</v>
      </c>
      <c r="Z1236">
        <f t="shared" si="226"/>
        <v>0</v>
      </c>
      <c r="AA1236" t="str">
        <f>INDEX('Priority activities'!$D$5:$D$86,MATCH('Database for analysis'!C1236,'Priority activities'!$C$5:$C$86,0))</f>
        <v>Rural and underserved access to FP services</v>
      </c>
    </row>
    <row r="1237" spans="2:27" ht="16.5" thickTop="1" thickBot="1" x14ac:dyDescent="0.3">
      <c r="B1237" t="s">
        <v>195</v>
      </c>
      <c r="C1237" s="22" t="str">
        <f>'Costing inputs'!$C$269</f>
        <v>Explore opportunities for public-private partnerships (SDA8.3)</v>
      </c>
      <c r="D1237" s="22" t="str">
        <f>'Costing inputs'!$U$269</f>
        <v>Central level</v>
      </c>
      <c r="E1237" s="22" t="str">
        <f>'Regional splits'!$E$14</f>
        <v>Eastern</v>
      </c>
      <c r="F1237">
        <v>0</v>
      </c>
      <c r="G1237">
        <v>0</v>
      </c>
      <c r="H1237">
        <v>0</v>
      </c>
      <c r="I1237">
        <v>0</v>
      </c>
      <c r="J1237">
        <v>0</v>
      </c>
      <c r="K1237">
        <v>0</v>
      </c>
      <c r="L1237">
        <v>0</v>
      </c>
      <c r="M1237">
        <v>0</v>
      </c>
      <c r="N1237">
        <v>0</v>
      </c>
      <c r="O1237">
        <v>0</v>
      </c>
      <c r="P1237" s="5">
        <f t="shared" si="227"/>
        <v>0</v>
      </c>
      <c r="Q1237">
        <f t="shared" si="217"/>
        <v>0</v>
      </c>
      <c r="R1237">
        <f t="shared" si="218"/>
        <v>0</v>
      </c>
      <c r="S1237">
        <f t="shared" si="219"/>
        <v>0</v>
      </c>
      <c r="T1237">
        <f t="shared" si="220"/>
        <v>0</v>
      </c>
      <c r="U1237">
        <f t="shared" si="221"/>
        <v>0</v>
      </c>
      <c r="V1237">
        <f t="shared" si="222"/>
        <v>0</v>
      </c>
      <c r="W1237">
        <f t="shared" si="223"/>
        <v>0</v>
      </c>
      <c r="X1237">
        <f t="shared" si="224"/>
        <v>0</v>
      </c>
      <c r="Y1237">
        <f t="shared" si="225"/>
        <v>0</v>
      </c>
      <c r="Z1237">
        <f t="shared" si="226"/>
        <v>0</v>
      </c>
      <c r="AA1237" t="str">
        <f>INDEX('Priority activities'!$D$5:$D$86,MATCH('Database for analysis'!C1237,'Priority activities'!$C$5:$C$86,0))</f>
        <v>Rural and underserved access to FP services</v>
      </c>
    </row>
    <row r="1238" spans="2:27" ht="16.5" thickTop="1" thickBot="1" x14ac:dyDescent="0.3">
      <c r="B1238" t="s">
        <v>195</v>
      </c>
      <c r="C1238" s="22" t="str">
        <f>'Costing inputs'!$C$269</f>
        <v>Explore opportunities for public-private partnerships (SDA8.3)</v>
      </c>
      <c r="D1238" s="22" t="str">
        <f>'Costing inputs'!$U$269</f>
        <v>Central level</v>
      </c>
      <c r="E1238" s="22" t="str">
        <f>'Regional splits'!$F$14</f>
        <v>Luapula</v>
      </c>
      <c r="F1238">
        <v>0</v>
      </c>
      <c r="G1238">
        <v>0</v>
      </c>
      <c r="H1238">
        <v>0</v>
      </c>
      <c r="I1238">
        <v>0</v>
      </c>
      <c r="J1238">
        <v>0</v>
      </c>
      <c r="K1238">
        <v>0</v>
      </c>
      <c r="L1238">
        <v>0</v>
      </c>
      <c r="M1238">
        <v>0</v>
      </c>
      <c r="N1238">
        <v>0</v>
      </c>
      <c r="O1238">
        <v>0</v>
      </c>
      <c r="P1238" s="5">
        <f t="shared" si="227"/>
        <v>0</v>
      </c>
      <c r="Q1238">
        <f t="shared" si="217"/>
        <v>0</v>
      </c>
      <c r="R1238">
        <f t="shared" si="218"/>
        <v>0</v>
      </c>
      <c r="S1238">
        <f t="shared" si="219"/>
        <v>0</v>
      </c>
      <c r="T1238">
        <f t="shared" si="220"/>
        <v>0</v>
      </c>
      <c r="U1238">
        <f t="shared" si="221"/>
        <v>0</v>
      </c>
      <c r="V1238">
        <f t="shared" si="222"/>
        <v>0</v>
      </c>
      <c r="W1238">
        <f t="shared" si="223"/>
        <v>0</v>
      </c>
      <c r="X1238">
        <f t="shared" si="224"/>
        <v>0</v>
      </c>
      <c r="Y1238">
        <f t="shared" si="225"/>
        <v>0</v>
      </c>
      <c r="Z1238">
        <f t="shared" si="226"/>
        <v>0</v>
      </c>
      <c r="AA1238" t="str">
        <f>INDEX('Priority activities'!$D$5:$D$86,MATCH('Database for analysis'!C1238,'Priority activities'!$C$5:$C$86,0))</f>
        <v>Rural and underserved access to FP services</v>
      </c>
    </row>
    <row r="1239" spans="2:27" ht="16.5" thickTop="1" thickBot="1" x14ac:dyDescent="0.3">
      <c r="B1239" t="s">
        <v>195</v>
      </c>
      <c r="C1239" s="22" t="str">
        <f>'Costing inputs'!$C$269</f>
        <v>Explore opportunities for public-private partnerships (SDA8.3)</v>
      </c>
      <c r="D1239" s="22" t="str">
        <f>'Costing inputs'!$U$269</f>
        <v>Central level</v>
      </c>
      <c r="E1239" s="22" t="str">
        <f>'Regional splits'!$G$14</f>
        <v>Lusaka</v>
      </c>
      <c r="F1239">
        <v>0</v>
      </c>
      <c r="G1239">
        <v>0</v>
      </c>
      <c r="H1239">
        <v>0</v>
      </c>
      <c r="I1239">
        <v>0</v>
      </c>
      <c r="J1239">
        <v>0</v>
      </c>
      <c r="K1239">
        <v>0</v>
      </c>
      <c r="L1239">
        <v>0</v>
      </c>
      <c r="M1239">
        <v>0</v>
      </c>
      <c r="N1239">
        <v>0</v>
      </c>
      <c r="O1239">
        <v>0</v>
      </c>
      <c r="P1239" s="5">
        <f t="shared" si="227"/>
        <v>0</v>
      </c>
      <c r="Q1239">
        <f t="shared" si="217"/>
        <v>0</v>
      </c>
      <c r="R1239">
        <f t="shared" si="218"/>
        <v>0</v>
      </c>
      <c r="S1239">
        <f t="shared" si="219"/>
        <v>0</v>
      </c>
      <c r="T1239">
        <f t="shared" si="220"/>
        <v>0</v>
      </c>
      <c r="U1239">
        <f t="shared" si="221"/>
        <v>0</v>
      </c>
      <c r="V1239">
        <f t="shared" si="222"/>
        <v>0</v>
      </c>
      <c r="W1239">
        <f t="shared" si="223"/>
        <v>0</v>
      </c>
      <c r="X1239">
        <f t="shared" si="224"/>
        <v>0</v>
      </c>
      <c r="Y1239">
        <f t="shared" si="225"/>
        <v>0</v>
      </c>
      <c r="Z1239">
        <f t="shared" si="226"/>
        <v>0</v>
      </c>
      <c r="AA1239" t="str">
        <f>INDEX('Priority activities'!$D$5:$D$86,MATCH('Database for analysis'!C1239,'Priority activities'!$C$5:$C$86,0))</f>
        <v>Rural and underserved access to FP services</v>
      </c>
    </row>
    <row r="1240" spans="2:27" ht="16.5" thickTop="1" thickBot="1" x14ac:dyDescent="0.3">
      <c r="B1240" t="s">
        <v>195</v>
      </c>
      <c r="C1240" s="22" t="str">
        <f>'Costing inputs'!$C$269</f>
        <v>Explore opportunities for public-private partnerships (SDA8.3)</v>
      </c>
      <c r="D1240" s="22" t="str">
        <f>'Costing inputs'!$U$269</f>
        <v>Central level</v>
      </c>
      <c r="E1240" s="22" t="str">
        <f>'Regional splits'!$H$14</f>
        <v>Muchinga</v>
      </c>
      <c r="F1240">
        <v>0</v>
      </c>
      <c r="G1240">
        <v>0</v>
      </c>
      <c r="H1240">
        <v>0</v>
      </c>
      <c r="I1240">
        <v>0</v>
      </c>
      <c r="J1240">
        <v>0</v>
      </c>
      <c r="K1240">
        <v>0</v>
      </c>
      <c r="L1240">
        <v>0</v>
      </c>
      <c r="M1240">
        <v>0</v>
      </c>
      <c r="N1240">
        <v>0</v>
      </c>
      <c r="O1240">
        <v>0</v>
      </c>
      <c r="P1240" s="5">
        <f t="shared" si="227"/>
        <v>0</v>
      </c>
      <c r="Q1240">
        <f t="shared" si="217"/>
        <v>0</v>
      </c>
      <c r="R1240">
        <f t="shared" si="218"/>
        <v>0</v>
      </c>
      <c r="S1240">
        <f t="shared" si="219"/>
        <v>0</v>
      </c>
      <c r="T1240">
        <f t="shared" si="220"/>
        <v>0</v>
      </c>
      <c r="U1240">
        <f t="shared" si="221"/>
        <v>0</v>
      </c>
      <c r="V1240">
        <f t="shared" si="222"/>
        <v>0</v>
      </c>
      <c r="W1240">
        <f t="shared" si="223"/>
        <v>0</v>
      </c>
      <c r="X1240">
        <f t="shared" si="224"/>
        <v>0</v>
      </c>
      <c r="Y1240">
        <f t="shared" si="225"/>
        <v>0</v>
      </c>
      <c r="Z1240">
        <f t="shared" si="226"/>
        <v>0</v>
      </c>
      <c r="AA1240" t="str">
        <f>INDEX('Priority activities'!$D$5:$D$86,MATCH('Database for analysis'!C1240,'Priority activities'!$C$5:$C$86,0))</f>
        <v>Rural and underserved access to FP services</v>
      </c>
    </row>
    <row r="1241" spans="2:27" ht="16.5" thickTop="1" thickBot="1" x14ac:dyDescent="0.3">
      <c r="B1241" t="s">
        <v>195</v>
      </c>
      <c r="C1241" s="22" t="str">
        <f>'Costing inputs'!$C$269</f>
        <v>Explore opportunities for public-private partnerships (SDA8.3)</v>
      </c>
      <c r="D1241" s="22" t="str">
        <f>'Costing inputs'!$U$269</f>
        <v>Central level</v>
      </c>
      <c r="E1241" s="22" t="str">
        <f>'Regional splits'!$I$14</f>
        <v>Northern</v>
      </c>
      <c r="F1241">
        <v>0</v>
      </c>
      <c r="G1241">
        <v>0</v>
      </c>
      <c r="H1241">
        <v>0</v>
      </c>
      <c r="I1241">
        <v>0</v>
      </c>
      <c r="J1241">
        <v>0</v>
      </c>
      <c r="K1241">
        <v>0</v>
      </c>
      <c r="L1241">
        <v>0</v>
      </c>
      <c r="M1241">
        <v>0</v>
      </c>
      <c r="N1241">
        <v>0</v>
      </c>
      <c r="O1241">
        <v>0</v>
      </c>
      <c r="P1241" s="5">
        <f t="shared" si="227"/>
        <v>0</v>
      </c>
      <c r="Q1241">
        <f t="shared" si="217"/>
        <v>0</v>
      </c>
      <c r="R1241">
        <f t="shared" si="218"/>
        <v>0</v>
      </c>
      <c r="S1241">
        <f t="shared" si="219"/>
        <v>0</v>
      </c>
      <c r="T1241">
        <f t="shared" si="220"/>
        <v>0</v>
      </c>
      <c r="U1241">
        <f t="shared" si="221"/>
        <v>0</v>
      </c>
      <c r="V1241">
        <f t="shared" si="222"/>
        <v>0</v>
      </c>
      <c r="W1241">
        <f t="shared" si="223"/>
        <v>0</v>
      </c>
      <c r="X1241">
        <f t="shared" si="224"/>
        <v>0</v>
      </c>
      <c r="Y1241">
        <f t="shared" si="225"/>
        <v>0</v>
      </c>
      <c r="Z1241">
        <f t="shared" si="226"/>
        <v>0</v>
      </c>
      <c r="AA1241" t="str">
        <f>INDEX('Priority activities'!$D$5:$D$86,MATCH('Database for analysis'!C1241,'Priority activities'!$C$5:$C$86,0))</f>
        <v>Rural and underserved access to FP services</v>
      </c>
    </row>
    <row r="1242" spans="2:27" ht="16.5" thickTop="1" thickBot="1" x14ac:dyDescent="0.3">
      <c r="B1242" t="s">
        <v>195</v>
      </c>
      <c r="C1242" s="22" t="str">
        <f>'Costing inputs'!$C$269</f>
        <v>Explore opportunities for public-private partnerships (SDA8.3)</v>
      </c>
      <c r="D1242" s="22" t="str">
        <f>'Costing inputs'!$U$269</f>
        <v>Central level</v>
      </c>
      <c r="E1242" s="22" t="str">
        <f>'Regional splits'!$J$14</f>
        <v>North Western</v>
      </c>
      <c r="F1242">
        <v>0</v>
      </c>
      <c r="G1242">
        <v>0</v>
      </c>
      <c r="H1242">
        <v>0</v>
      </c>
      <c r="I1242">
        <v>0</v>
      </c>
      <c r="J1242">
        <v>0</v>
      </c>
      <c r="K1242">
        <v>0</v>
      </c>
      <c r="L1242">
        <v>0</v>
      </c>
      <c r="M1242">
        <v>0</v>
      </c>
      <c r="N1242">
        <v>0</v>
      </c>
      <c r="O1242">
        <v>0</v>
      </c>
      <c r="P1242" s="5">
        <f t="shared" si="227"/>
        <v>0</v>
      </c>
      <c r="Q1242">
        <f t="shared" si="217"/>
        <v>0</v>
      </c>
      <c r="R1242">
        <f t="shared" si="218"/>
        <v>0</v>
      </c>
      <c r="S1242">
        <f t="shared" si="219"/>
        <v>0</v>
      </c>
      <c r="T1242">
        <f t="shared" si="220"/>
        <v>0</v>
      </c>
      <c r="U1242">
        <f t="shared" si="221"/>
        <v>0</v>
      </c>
      <c r="V1242">
        <f t="shared" si="222"/>
        <v>0</v>
      </c>
      <c r="W1242">
        <f t="shared" si="223"/>
        <v>0</v>
      </c>
      <c r="X1242">
        <f t="shared" si="224"/>
        <v>0</v>
      </c>
      <c r="Y1242">
        <f t="shared" si="225"/>
        <v>0</v>
      </c>
      <c r="Z1242">
        <f t="shared" si="226"/>
        <v>0</v>
      </c>
      <c r="AA1242" t="str">
        <f>INDEX('Priority activities'!$D$5:$D$86,MATCH('Database for analysis'!C1242,'Priority activities'!$C$5:$C$86,0))</f>
        <v>Rural and underserved access to FP services</v>
      </c>
    </row>
    <row r="1243" spans="2:27" ht="16.5" thickTop="1" thickBot="1" x14ac:dyDescent="0.3">
      <c r="B1243" t="s">
        <v>195</v>
      </c>
      <c r="C1243" s="22" t="str">
        <f>'Costing inputs'!$C$269</f>
        <v>Explore opportunities for public-private partnerships (SDA8.3)</v>
      </c>
      <c r="D1243" s="22" t="str">
        <f>'Costing inputs'!$U$269</f>
        <v>Central level</v>
      </c>
      <c r="E1243" s="22" t="str">
        <f>'Regional splits'!$K$14</f>
        <v>Southern</v>
      </c>
      <c r="F1243">
        <v>0</v>
      </c>
      <c r="G1243">
        <v>0</v>
      </c>
      <c r="H1243">
        <v>0</v>
      </c>
      <c r="I1243">
        <v>0</v>
      </c>
      <c r="J1243">
        <v>0</v>
      </c>
      <c r="K1243">
        <v>0</v>
      </c>
      <c r="L1243">
        <v>0</v>
      </c>
      <c r="M1243">
        <v>0</v>
      </c>
      <c r="N1243">
        <v>0</v>
      </c>
      <c r="O1243">
        <v>0</v>
      </c>
      <c r="P1243" s="5">
        <f t="shared" si="227"/>
        <v>0</v>
      </c>
      <c r="Q1243">
        <f t="shared" si="217"/>
        <v>0</v>
      </c>
      <c r="R1243">
        <f t="shared" si="218"/>
        <v>0</v>
      </c>
      <c r="S1243">
        <f t="shared" si="219"/>
        <v>0</v>
      </c>
      <c r="T1243">
        <f t="shared" si="220"/>
        <v>0</v>
      </c>
      <c r="U1243">
        <f t="shared" si="221"/>
        <v>0</v>
      </c>
      <c r="V1243">
        <f t="shared" si="222"/>
        <v>0</v>
      </c>
      <c r="W1243">
        <f t="shared" si="223"/>
        <v>0</v>
      </c>
      <c r="X1243">
        <f t="shared" si="224"/>
        <v>0</v>
      </c>
      <c r="Y1243">
        <f t="shared" si="225"/>
        <v>0</v>
      </c>
      <c r="Z1243">
        <f t="shared" si="226"/>
        <v>0</v>
      </c>
      <c r="AA1243" t="str">
        <f>INDEX('Priority activities'!$D$5:$D$86,MATCH('Database for analysis'!C1243,'Priority activities'!$C$5:$C$86,0))</f>
        <v>Rural and underserved access to FP services</v>
      </c>
    </row>
    <row r="1244" spans="2:27" ht="16.5" thickTop="1" thickBot="1" x14ac:dyDescent="0.3">
      <c r="B1244" t="s">
        <v>195</v>
      </c>
      <c r="C1244" s="22" t="str">
        <f>'Costing inputs'!$C$269</f>
        <v>Explore opportunities for public-private partnerships (SDA8.3)</v>
      </c>
      <c r="D1244" s="22" t="str">
        <f>'Costing inputs'!$U$269</f>
        <v>Central level</v>
      </c>
      <c r="E1244" s="22" t="str">
        <f>'Regional splits'!$L$14</f>
        <v>Western</v>
      </c>
      <c r="F1244">
        <v>0</v>
      </c>
      <c r="G1244">
        <v>0</v>
      </c>
      <c r="H1244">
        <v>0</v>
      </c>
      <c r="I1244">
        <v>0</v>
      </c>
      <c r="J1244">
        <v>0</v>
      </c>
      <c r="K1244">
        <v>0</v>
      </c>
      <c r="L1244">
        <v>0</v>
      </c>
      <c r="M1244">
        <v>0</v>
      </c>
      <c r="N1244">
        <v>0</v>
      </c>
      <c r="O1244">
        <v>0</v>
      </c>
      <c r="P1244" s="5">
        <f t="shared" si="227"/>
        <v>0</v>
      </c>
      <c r="Q1244">
        <f t="shared" si="217"/>
        <v>0</v>
      </c>
      <c r="R1244">
        <f t="shared" si="218"/>
        <v>0</v>
      </c>
      <c r="S1244">
        <f t="shared" si="219"/>
        <v>0</v>
      </c>
      <c r="T1244">
        <f t="shared" si="220"/>
        <v>0</v>
      </c>
      <c r="U1244">
        <f t="shared" si="221"/>
        <v>0</v>
      </c>
      <c r="V1244">
        <f t="shared" si="222"/>
        <v>0</v>
      </c>
      <c r="W1244">
        <f t="shared" si="223"/>
        <v>0</v>
      </c>
      <c r="X1244">
        <f t="shared" si="224"/>
        <v>0</v>
      </c>
      <c r="Y1244">
        <f t="shared" si="225"/>
        <v>0</v>
      </c>
      <c r="Z1244">
        <f t="shared" si="226"/>
        <v>0</v>
      </c>
      <c r="AA1244" t="str">
        <f>INDEX('Priority activities'!$D$5:$D$86,MATCH('Database for analysis'!C1244,'Priority activities'!$C$5:$C$86,0))</f>
        <v>Rural and underserved access to FP services</v>
      </c>
    </row>
    <row r="1245" spans="2:27" ht="16.5" thickTop="1" thickBot="1" x14ac:dyDescent="0.3">
      <c r="B1245" t="s">
        <v>195</v>
      </c>
      <c r="C1245" s="22" t="str">
        <f>'Costing inputs'!$C$269</f>
        <v>Explore opportunities for public-private partnerships (SDA8.3)</v>
      </c>
      <c r="D1245" s="22" t="str">
        <f>'Costing inputs'!$U$269</f>
        <v>Central level</v>
      </c>
      <c r="E1245" s="22">
        <f>'Regional splits'!$M$14</f>
        <v>0</v>
      </c>
      <c r="F1245">
        <v>0</v>
      </c>
      <c r="G1245">
        <v>0</v>
      </c>
      <c r="H1245">
        <v>0</v>
      </c>
      <c r="I1245">
        <v>0</v>
      </c>
      <c r="J1245">
        <v>0</v>
      </c>
      <c r="K1245">
        <v>0</v>
      </c>
      <c r="L1245">
        <v>0</v>
      </c>
      <c r="M1245">
        <v>0</v>
      </c>
      <c r="N1245">
        <v>0</v>
      </c>
      <c r="O1245">
        <v>0</v>
      </c>
      <c r="P1245" s="5">
        <f t="shared" si="227"/>
        <v>0</v>
      </c>
      <c r="Q1245">
        <f t="shared" si="217"/>
        <v>0</v>
      </c>
      <c r="R1245">
        <f t="shared" si="218"/>
        <v>0</v>
      </c>
      <c r="S1245">
        <f t="shared" si="219"/>
        <v>0</v>
      </c>
      <c r="T1245">
        <f t="shared" si="220"/>
        <v>0</v>
      </c>
      <c r="U1245">
        <f t="shared" si="221"/>
        <v>0</v>
      </c>
      <c r="V1245">
        <f t="shared" si="222"/>
        <v>0</v>
      </c>
      <c r="W1245">
        <f t="shared" si="223"/>
        <v>0</v>
      </c>
      <c r="X1245">
        <f t="shared" si="224"/>
        <v>0</v>
      </c>
      <c r="Y1245">
        <f t="shared" si="225"/>
        <v>0</v>
      </c>
      <c r="Z1245">
        <f t="shared" si="226"/>
        <v>0</v>
      </c>
      <c r="AA1245" t="str">
        <f>INDEX('Priority activities'!$D$5:$D$86,MATCH('Database for analysis'!C1245,'Priority activities'!$C$5:$C$86,0))</f>
        <v>Rural and underserved access to FP services</v>
      </c>
    </row>
    <row r="1246" spans="2:27" ht="16.5" thickTop="1" thickBot="1" x14ac:dyDescent="0.3">
      <c r="B1246" t="s">
        <v>195</v>
      </c>
      <c r="C1246" s="22" t="str">
        <f>'Costing inputs'!$C$269</f>
        <v>Explore opportunities for public-private partnerships (SDA8.3)</v>
      </c>
      <c r="D1246" s="22" t="str">
        <f>'Costing inputs'!$U$269</f>
        <v>Central level</v>
      </c>
      <c r="E1246" s="22">
        <f>'Regional splits'!$N$14</f>
        <v>0</v>
      </c>
      <c r="F1246">
        <v>0</v>
      </c>
      <c r="G1246">
        <v>0</v>
      </c>
      <c r="H1246">
        <v>0</v>
      </c>
      <c r="I1246">
        <v>0</v>
      </c>
      <c r="J1246">
        <v>0</v>
      </c>
      <c r="K1246">
        <v>0</v>
      </c>
      <c r="L1246">
        <v>0</v>
      </c>
      <c r="M1246">
        <v>0</v>
      </c>
      <c r="N1246">
        <v>0</v>
      </c>
      <c r="O1246">
        <v>0</v>
      </c>
      <c r="P1246" s="5">
        <f t="shared" si="227"/>
        <v>0</v>
      </c>
      <c r="Q1246">
        <f t="shared" si="217"/>
        <v>0</v>
      </c>
      <c r="R1246">
        <f t="shared" si="218"/>
        <v>0</v>
      </c>
      <c r="S1246">
        <f t="shared" si="219"/>
        <v>0</v>
      </c>
      <c r="T1246">
        <f t="shared" si="220"/>
        <v>0</v>
      </c>
      <c r="U1246">
        <f t="shared" si="221"/>
        <v>0</v>
      </c>
      <c r="V1246">
        <f t="shared" si="222"/>
        <v>0</v>
      </c>
      <c r="W1246">
        <f t="shared" si="223"/>
        <v>0</v>
      </c>
      <c r="X1246">
        <f t="shared" si="224"/>
        <v>0</v>
      </c>
      <c r="Y1246">
        <f t="shared" si="225"/>
        <v>0</v>
      </c>
      <c r="Z1246">
        <f t="shared" si="226"/>
        <v>0</v>
      </c>
      <c r="AA1246" t="str">
        <f>INDEX('Priority activities'!$D$5:$D$86,MATCH('Database for analysis'!C1246,'Priority activities'!$C$5:$C$86,0))</f>
        <v>Rural and underserved access to FP services</v>
      </c>
    </row>
    <row r="1247" spans="2:27" ht="16.5" thickTop="1" thickBot="1" x14ac:dyDescent="0.3">
      <c r="B1247" t="s">
        <v>195</v>
      </c>
      <c r="C1247" s="22" t="str">
        <f>'Costing inputs'!$C$269</f>
        <v>Explore opportunities for public-private partnerships (SDA8.3)</v>
      </c>
      <c r="D1247" s="22" t="str">
        <f>'Costing inputs'!$U$269</f>
        <v>Central level</v>
      </c>
      <c r="E1247" s="22">
        <f>'Regional splits'!$O$14</f>
        <v>0</v>
      </c>
      <c r="F1247">
        <v>0</v>
      </c>
      <c r="G1247">
        <v>0</v>
      </c>
      <c r="H1247">
        <v>0</v>
      </c>
      <c r="I1247">
        <v>0</v>
      </c>
      <c r="J1247">
        <v>0</v>
      </c>
      <c r="K1247">
        <v>0</v>
      </c>
      <c r="L1247">
        <v>0</v>
      </c>
      <c r="M1247">
        <v>0</v>
      </c>
      <c r="N1247">
        <v>0</v>
      </c>
      <c r="O1247">
        <v>0</v>
      </c>
      <c r="P1247" s="5">
        <f t="shared" si="227"/>
        <v>0</v>
      </c>
      <c r="Q1247">
        <f t="shared" si="217"/>
        <v>0</v>
      </c>
      <c r="R1247">
        <f t="shared" si="218"/>
        <v>0</v>
      </c>
      <c r="S1247">
        <f t="shared" si="219"/>
        <v>0</v>
      </c>
      <c r="T1247">
        <f t="shared" si="220"/>
        <v>0</v>
      </c>
      <c r="U1247">
        <f t="shared" si="221"/>
        <v>0</v>
      </c>
      <c r="V1247">
        <f t="shared" si="222"/>
        <v>0</v>
      </c>
      <c r="W1247">
        <f t="shared" si="223"/>
        <v>0</v>
      </c>
      <c r="X1247">
        <f t="shared" si="224"/>
        <v>0</v>
      </c>
      <c r="Y1247">
        <f t="shared" si="225"/>
        <v>0</v>
      </c>
      <c r="Z1247">
        <f t="shared" si="226"/>
        <v>0</v>
      </c>
      <c r="AA1247" t="str">
        <f>INDEX('Priority activities'!$D$5:$D$86,MATCH('Database for analysis'!C1247,'Priority activities'!$C$5:$C$86,0))</f>
        <v>Rural and underserved access to FP services</v>
      </c>
    </row>
    <row r="1248" spans="2:27" ht="16.5" thickTop="1" thickBot="1" x14ac:dyDescent="0.3">
      <c r="B1248" t="s">
        <v>195</v>
      </c>
      <c r="C1248" s="22" t="str">
        <f>'Costing inputs'!$C$269</f>
        <v>Explore opportunities for public-private partnerships (SDA8.3)</v>
      </c>
      <c r="D1248" s="22" t="str">
        <f>'Costing inputs'!$U$269</f>
        <v>Central level</v>
      </c>
      <c r="E1248" s="22">
        <f>'Regional splits'!$P$14</f>
        <v>0</v>
      </c>
      <c r="F1248">
        <v>0</v>
      </c>
      <c r="G1248">
        <v>0</v>
      </c>
      <c r="H1248">
        <v>0</v>
      </c>
      <c r="I1248">
        <v>0</v>
      </c>
      <c r="J1248">
        <v>0</v>
      </c>
      <c r="K1248">
        <v>0</v>
      </c>
      <c r="L1248">
        <v>0</v>
      </c>
      <c r="M1248">
        <v>0</v>
      </c>
      <c r="N1248">
        <v>0</v>
      </c>
      <c r="O1248">
        <v>0</v>
      </c>
      <c r="P1248" s="5">
        <f t="shared" si="227"/>
        <v>0</v>
      </c>
      <c r="Q1248">
        <f t="shared" si="217"/>
        <v>0</v>
      </c>
      <c r="R1248">
        <f t="shared" si="218"/>
        <v>0</v>
      </c>
      <c r="S1248">
        <f t="shared" si="219"/>
        <v>0</v>
      </c>
      <c r="T1248">
        <f t="shared" si="220"/>
        <v>0</v>
      </c>
      <c r="U1248">
        <f t="shared" si="221"/>
        <v>0</v>
      </c>
      <c r="V1248">
        <f t="shared" si="222"/>
        <v>0</v>
      </c>
      <c r="W1248">
        <f t="shared" si="223"/>
        <v>0</v>
      </c>
      <c r="X1248">
        <f t="shared" si="224"/>
        <v>0</v>
      </c>
      <c r="Y1248">
        <f t="shared" si="225"/>
        <v>0</v>
      </c>
      <c r="Z1248">
        <f t="shared" si="226"/>
        <v>0</v>
      </c>
      <c r="AA1248" t="str">
        <f>INDEX('Priority activities'!$D$5:$D$86,MATCH('Database for analysis'!C1248,'Priority activities'!$C$5:$C$86,0))</f>
        <v>Rural and underserved access to FP services</v>
      </c>
    </row>
    <row r="1249" spans="2:27" ht="16.5" thickTop="1" thickBot="1" x14ac:dyDescent="0.3">
      <c r="B1249" t="s">
        <v>195</v>
      </c>
      <c r="C1249" s="22" t="str">
        <f>'Costing inputs'!$C$269</f>
        <v>Explore opportunities for public-private partnerships (SDA8.3)</v>
      </c>
      <c r="D1249" s="22" t="str">
        <f>'Costing inputs'!$U$269</f>
        <v>Central level</v>
      </c>
      <c r="E1249" s="22">
        <f>'Regional splits'!$Q$14</f>
        <v>0</v>
      </c>
      <c r="F1249">
        <v>0</v>
      </c>
      <c r="G1249">
        <v>0</v>
      </c>
      <c r="H1249">
        <v>0</v>
      </c>
      <c r="I1249">
        <v>0</v>
      </c>
      <c r="J1249">
        <v>0</v>
      </c>
      <c r="K1249">
        <v>0</v>
      </c>
      <c r="L1249">
        <v>0</v>
      </c>
      <c r="M1249">
        <v>0</v>
      </c>
      <c r="N1249">
        <v>0</v>
      </c>
      <c r="O1249">
        <v>0</v>
      </c>
      <c r="P1249" s="5">
        <f t="shared" si="227"/>
        <v>0</v>
      </c>
      <c r="Q1249">
        <f t="shared" si="217"/>
        <v>0</v>
      </c>
      <c r="R1249">
        <f t="shared" si="218"/>
        <v>0</v>
      </c>
      <c r="S1249">
        <f t="shared" si="219"/>
        <v>0</v>
      </c>
      <c r="T1249">
        <f t="shared" si="220"/>
        <v>0</v>
      </c>
      <c r="U1249">
        <f t="shared" si="221"/>
        <v>0</v>
      </c>
      <c r="V1249">
        <f t="shared" si="222"/>
        <v>0</v>
      </c>
      <c r="W1249">
        <f t="shared" si="223"/>
        <v>0</v>
      </c>
      <c r="X1249">
        <f t="shared" si="224"/>
        <v>0</v>
      </c>
      <c r="Y1249">
        <f t="shared" si="225"/>
        <v>0</v>
      </c>
      <c r="Z1249">
        <f t="shared" si="226"/>
        <v>0</v>
      </c>
      <c r="AA1249" t="str">
        <f>INDEX('Priority activities'!$D$5:$D$86,MATCH('Database for analysis'!C1249,'Priority activities'!$C$5:$C$86,0))</f>
        <v>Rural and underserved access to FP services</v>
      </c>
    </row>
    <row r="1250" spans="2:27" ht="16.5" thickTop="1" thickBot="1" x14ac:dyDescent="0.3">
      <c r="B1250" t="s">
        <v>195</v>
      </c>
      <c r="C1250" s="22" t="str">
        <f>'Costing inputs'!$C$269</f>
        <v>Explore opportunities for public-private partnerships (SDA8.3)</v>
      </c>
      <c r="D1250" s="22" t="str">
        <f>'Costing inputs'!$U$269</f>
        <v>Central level</v>
      </c>
      <c r="E1250" s="22" t="str">
        <f>'Regional splits'!$R$14</f>
        <v>National-level</v>
      </c>
      <c r="F1250">
        <v>0</v>
      </c>
      <c r="G1250">
        <v>392584.88</v>
      </c>
      <c r="H1250">
        <v>0</v>
      </c>
      <c r="I1250">
        <v>0</v>
      </c>
      <c r="J1250">
        <v>0</v>
      </c>
      <c r="K1250">
        <v>0</v>
      </c>
      <c r="L1250">
        <v>0</v>
      </c>
      <c r="M1250">
        <v>0</v>
      </c>
      <c r="N1250">
        <v>0</v>
      </c>
      <c r="O1250">
        <v>0</v>
      </c>
      <c r="P1250" s="5">
        <f t="shared" si="227"/>
        <v>392584.88</v>
      </c>
      <c r="Q1250">
        <f t="shared" si="217"/>
        <v>0</v>
      </c>
      <c r="R1250">
        <f t="shared" si="218"/>
        <v>392584.88</v>
      </c>
      <c r="S1250">
        <f t="shared" si="219"/>
        <v>0</v>
      </c>
      <c r="T1250">
        <f t="shared" si="220"/>
        <v>0</v>
      </c>
      <c r="U1250">
        <f t="shared" si="221"/>
        <v>0</v>
      </c>
      <c r="V1250">
        <f t="shared" si="222"/>
        <v>0</v>
      </c>
      <c r="W1250">
        <f t="shared" si="223"/>
        <v>0</v>
      </c>
      <c r="X1250">
        <f t="shared" si="224"/>
        <v>0</v>
      </c>
      <c r="Y1250">
        <f t="shared" si="225"/>
        <v>0</v>
      </c>
      <c r="Z1250">
        <f t="shared" si="226"/>
        <v>0</v>
      </c>
      <c r="AA1250" t="str">
        <f>INDEX('Priority activities'!$D$5:$D$86,MATCH('Database for analysis'!C1250,'Priority activities'!$C$5:$C$86,0))</f>
        <v>Rural and underserved access to FP services</v>
      </c>
    </row>
    <row r="1251" spans="2:27" ht="16.5" thickTop="1" thickBot="1" x14ac:dyDescent="0.3">
      <c r="B1251" t="s">
        <v>195</v>
      </c>
      <c r="C1251" s="22" t="str">
        <f>'Costing inputs'!$C$273</f>
        <v>Revise CHA training curriculum and retrain (SDA9)</v>
      </c>
      <c r="D1251" s="22" t="str">
        <f>'Costing inputs'!$U$273</f>
        <v>Central level</v>
      </c>
      <c r="E1251" s="22" t="str">
        <f>'Regional splits'!$C$14</f>
        <v>Central</v>
      </c>
      <c r="F1251">
        <f t="array" ref="F1251:O1266">'Costing inputs'!S273*'Costing inputs'!AP273:AY273*TRANSPOSE('Costing inputs'!W273:AL273)</f>
        <v>0</v>
      </c>
      <c r="G1251">
        <v>0</v>
      </c>
      <c r="H1251">
        <v>0</v>
      </c>
      <c r="I1251">
        <v>0</v>
      </c>
      <c r="J1251">
        <v>0</v>
      </c>
      <c r="K1251">
        <v>0</v>
      </c>
      <c r="L1251">
        <v>0</v>
      </c>
      <c r="M1251">
        <v>0</v>
      </c>
      <c r="N1251">
        <v>0</v>
      </c>
      <c r="O1251">
        <v>0</v>
      </c>
      <c r="P1251" s="5">
        <f t="shared" ref="P1251:P1266" si="228">SUMIF(F1251:O1251,"&lt;&gt;#N/A")</f>
        <v>0</v>
      </c>
      <c r="Q1251">
        <f t="shared" si="217"/>
        <v>0</v>
      </c>
      <c r="R1251">
        <f t="shared" si="218"/>
        <v>0</v>
      </c>
      <c r="S1251">
        <f t="shared" si="219"/>
        <v>0</v>
      </c>
      <c r="T1251">
        <f t="shared" si="220"/>
        <v>0</v>
      </c>
      <c r="U1251">
        <f t="shared" si="221"/>
        <v>0</v>
      </c>
      <c r="V1251">
        <f t="shared" si="222"/>
        <v>0</v>
      </c>
      <c r="W1251">
        <f t="shared" si="223"/>
        <v>0</v>
      </c>
      <c r="X1251">
        <f t="shared" si="224"/>
        <v>0</v>
      </c>
      <c r="Y1251">
        <f t="shared" si="225"/>
        <v>0</v>
      </c>
      <c r="Z1251">
        <f t="shared" si="226"/>
        <v>0</v>
      </c>
      <c r="AA1251" t="str">
        <f>INDEX('Priority activities'!$D$5:$D$86,MATCH('Database for analysis'!C1251,'Priority activities'!$C$5:$C$86,0))</f>
        <v>n/a</v>
      </c>
    </row>
    <row r="1252" spans="2:27" ht="16.5" thickTop="1" thickBot="1" x14ac:dyDescent="0.3">
      <c r="B1252" t="s">
        <v>195</v>
      </c>
      <c r="C1252" s="22" t="str">
        <f>'Costing inputs'!$C$273</f>
        <v>Revise CHA training curriculum and retrain (SDA9)</v>
      </c>
      <c r="D1252" s="22" t="str">
        <f>'Costing inputs'!$U$273</f>
        <v>Central level</v>
      </c>
      <c r="E1252" s="22" t="str">
        <f>'Regional splits'!$D$14</f>
        <v>Copperbelt</v>
      </c>
      <c r="F1252">
        <v>0</v>
      </c>
      <c r="G1252">
        <v>0</v>
      </c>
      <c r="H1252">
        <v>0</v>
      </c>
      <c r="I1252">
        <v>0</v>
      </c>
      <c r="J1252">
        <v>0</v>
      </c>
      <c r="K1252">
        <v>0</v>
      </c>
      <c r="L1252">
        <v>0</v>
      </c>
      <c r="M1252">
        <v>0</v>
      </c>
      <c r="N1252">
        <v>0</v>
      </c>
      <c r="O1252">
        <v>0</v>
      </c>
      <c r="P1252" s="5">
        <f t="shared" si="228"/>
        <v>0</v>
      </c>
      <c r="Q1252">
        <f t="shared" si="217"/>
        <v>0</v>
      </c>
      <c r="R1252">
        <f t="shared" si="218"/>
        <v>0</v>
      </c>
      <c r="S1252">
        <f t="shared" si="219"/>
        <v>0</v>
      </c>
      <c r="T1252">
        <f t="shared" si="220"/>
        <v>0</v>
      </c>
      <c r="U1252">
        <f t="shared" si="221"/>
        <v>0</v>
      </c>
      <c r="V1252">
        <f t="shared" si="222"/>
        <v>0</v>
      </c>
      <c r="W1252">
        <f t="shared" si="223"/>
        <v>0</v>
      </c>
      <c r="X1252">
        <f t="shared" si="224"/>
        <v>0</v>
      </c>
      <c r="Y1252">
        <f t="shared" si="225"/>
        <v>0</v>
      </c>
      <c r="Z1252">
        <f t="shared" si="226"/>
        <v>0</v>
      </c>
      <c r="AA1252" t="str">
        <f>INDEX('Priority activities'!$D$5:$D$86,MATCH('Database for analysis'!C1252,'Priority activities'!$C$5:$C$86,0))</f>
        <v>n/a</v>
      </c>
    </row>
    <row r="1253" spans="2:27" ht="16.5" thickTop="1" thickBot="1" x14ac:dyDescent="0.3">
      <c r="B1253" t="s">
        <v>195</v>
      </c>
      <c r="C1253" s="22" t="str">
        <f>'Costing inputs'!$C$273</f>
        <v>Revise CHA training curriculum and retrain (SDA9)</v>
      </c>
      <c r="D1253" s="22" t="str">
        <f>'Costing inputs'!$U$273</f>
        <v>Central level</v>
      </c>
      <c r="E1253" s="22" t="str">
        <f>'Regional splits'!$E$14</f>
        <v>Eastern</v>
      </c>
      <c r="F1253">
        <v>0</v>
      </c>
      <c r="G1253">
        <v>0</v>
      </c>
      <c r="H1253">
        <v>0</v>
      </c>
      <c r="I1253">
        <v>0</v>
      </c>
      <c r="J1253">
        <v>0</v>
      </c>
      <c r="K1253">
        <v>0</v>
      </c>
      <c r="L1253">
        <v>0</v>
      </c>
      <c r="M1253">
        <v>0</v>
      </c>
      <c r="N1253">
        <v>0</v>
      </c>
      <c r="O1253">
        <v>0</v>
      </c>
      <c r="P1253" s="5">
        <f t="shared" si="228"/>
        <v>0</v>
      </c>
      <c r="Q1253">
        <f t="shared" si="217"/>
        <v>0</v>
      </c>
      <c r="R1253">
        <f t="shared" si="218"/>
        <v>0</v>
      </c>
      <c r="S1253">
        <f t="shared" si="219"/>
        <v>0</v>
      </c>
      <c r="T1253">
        <f t="shared" si="220"/>
        <v>0</v>
      </c>
      <c r="U1253">
        <f t="shared" si="221"/>
        <v>0</v>
      </c>
      <c r="V1253">
        <f t="shared" si="222"/>
        <v>0</v>
      </c>
      <c r="W1253">
        <f t="shared" si="223"/>
        <v>0</v>
      </c>
      <c r="X1253">
        <f t="shared" si="224"/>
        <v>0</v>
      </c>
      <c r="Y1253">
        <f t="shared" si="225"/>
        <v>0</v>
      </c>
      <c r="Z1253">
        <f t="shared" si="226"/>
        <v>0</v>
      </c>
      <c r="AA1253" t="str">
        <f>INDEX('Priority activities'!$D$5:$D$86,MATCH('Database for analysis'!C1253,'Priority activities'!$C$5:$C$86,0))</f>
        <v>n/a</v>
      </c>
    </row>
    <row r="1254" spans="2:27" ht="16.5" thickTop="1" thickBot="1" x14ac:dyDescent="0.3">
      <c r="B1254" t="s">
        <v>195</v>
      </c>
      <c r="C1254" s="22" t="str">
        <f>'Costing inputs'!$C$273</f>
        <v>Revise CHA training curriculum and retrain (SDA9)</v>
      </c>
      <c r="D1254" s="22" t="str">
        <f>'Costing inputs'!$U$273</f>
        <v>Central level</v>
      </c>
      <c r="E1254" s="22" t="str">
        <f>'Regional splits'!$F$14</f>
        <v>Luapula</v>
      </c>
      <c r="F1254">
        <v>0</v>
      </c>
      <c r="G1254">
        <v>0</v>
      </c>
      <c r="H1254">
        <v>0</v>
      </c>
      <c r="I1254">
        <v>0</v>
      </c>
      <c r="J1254">
        <v>0</v>
      </c>
      <c r="K1254">
        <v>0</v>
      </c>
      <c r="L1254">
        <v>0</v>
      </c>
      <c r="M1254">
        <v>0</v>
      </c>
      <c r="N1254">
        <v>0</v>
      </c>
      <c r="O1254">
        <v>0</v>
      </c>
      <c r="P1254" s="5">
        <f t="shared" si="228"/>
        <v>0</v>
      </c>
      <c r="Q1254">
        <f t="shared" si="217"/>
        <v>0</v>
      </c>
      <c r="R1254">
        <f t="shared" si="218"/>
        <v>0</v>
      </c>
      <c r="S1254">
        <f t="shared" si="219"/>
        <v>0</v>
      </c>
      <c r="T1254">
        <f t="shared" si="220"/>
        <v>0</v>
      </c>
      <c r="U1254">
        <f t="shared" si="221"/>
        <v>0</v>
      </c>
      <c r="V1254">
        <f t="shared" si="222"/>
        <v>0</v>
      </c>
      <c r="W1254">
        <f t="shared" si="223"/>
        <v>0</v>
      </c>
      <c r="X1254">
        <f t="shared" si="224"/>
        <v>0</v>
      </c>
      <c r="Y1254">
        <f t="shared" si="225"/>
        <v>0</v>
      </c>
      <c r="Z1254">
        <f t="shared" si="226"/>
        <v>0</v>
      </c>
      <c r="AA1254" t="str">
        <f>INDEX('Priority activities'!$D$5:$D$86,MATCH('Database for analysis'!C1254,'Priority activities'!$C$5:$C$86,0))</f>
        <v>n/a</v>
      </c>
    </row>
    <row r="1255" spans="2:27" ht="16.5" thickTop="1" thickBot="1" x14ac:dyDescent="0.3">
      <c r="B1255" t="s">
        <v>195</v>
      </c>
      <c r="C1255" s="22" t="str">
        <f>'Costing inputs'!$C$273</f>
        <v>Revise CHA training curriculum and retrain (SDA9)</v>
      </c>
      <c r="D1255" s="22" t="str">
        <f>'Costing inputs'!$U$273</f>
        <v>Central level</v>
      </c>
      <c r="E1255" s="22" t="str">
        <f>'Regional splits'!$G$14</f>
        <v>Lusaka</v>
      </c>
      <c r="F1255">
        <v>0</v>
      </c>
      <c r="G1255">
        <v>0</v>
      </c>
      <c r="H1255">
        <v>0</v>
      </c>
      <c r="I1255">
        <v>0</v>
      </c>
      <c r="J1255">
        <v>0</v>
      </c>
      <c r="K1255">
        <v>0</v>
      </c>
      <c r="L1255">
        <v>0</v>
      </c>
      <c r="M1255">
        <v>0</v>
      </c>
      <c r="N1255">
        <v>0</v>
      </c>
      <c r="O1255">
        <v>0</v>
      </c>
      <c r="P1255" s="5">
        <f t="shared" si="228"/>
        <v>0</v>
      </c>
      <c r="Q1255">
        <f t="shared" si="217"/>
        <v>0</v>
      </c>
      <c r="R1255">
        <f t="shared" si="218"/>
        <v>0</v>
      </c>
      <c r="S1255">
        <f t="shared" si="219"/>
        <v>0</v>
      </c>
      <c r="T1255">
        <f t="shared" si="220"/>
        <v>0</v>
      </c>
      <c r="U1255">
        <f t="shared" si="221"/>
        <v>0</v>
      </c>
      <c r="V1255">
        <f t="shared" si="222"/>
        <v>0</v>
      </c>
      <c r="W1255">
        <f t="shared" si="223"/>
        <v>0</v>
      </c>
      <c r="X1255">
        <f t="shared" si="224"/>
        <v>0</v>
      </c>
      <c r="Y1255">
        <f t="shared" si="225"/>
        <v>0</v>
      </c>
      <c r="Z1255">
        <f t="shared" si="226"/>
        <v>0</v>
      </c>
      <c r="AA1255" t="str">
        <f>INDEX('Priority activities'!$D$5:$D$86,MATCH('Database for analysis'!C1255,'Priority activities'!$C$5:$C$86,0))</f>
        <v>n/a</v>
      </c>
    </row>
    <row r="1256" spans="2:27" ht="16.5" thickTop="1" thickBot="1" x14ac:dyDescent="0.3">
      <c r="B1256" t="s">
        <v>195</v>
      </c>
      <c r="C1256" s="22" t="str">
        <f>'Costing inputs'!$C$273</f>
        <v>Revise CHA training curriculum and retrain (SDA9)</v>
      </c>
      <c r="D1256" s="22" t="str">
        <f>'Costing inputs'!$U$273</f>
        <v>Central level</v>
      </c>
      <c r="E1256" s="22" t="str">
        <f>'Regional splits'!$H$14</f>
        <v>Muchinga</v>
      </c>
      <c r="F1256">
        <v>0</v>
      </c>
      <c r="G1256">
        <v>0</v>
      </c>
      <c r="H1256">
        <v>0</v>
      </c>
      <c r="I1256">
        <v>0</v>
      </c>
      <c r="J1256">
        <v>0</v>
      </c>
      <c r="K1256">
        <v>0</v>
      </c>
      <c r="L1256">
        <v>0</v>
      </c>
      <c r="M1256">
        <v>0</v>
      </c>
      <c r="N1256">
        <v>0</v>
      </c>
      <c r="O1256">
        <v>0</v>
      </c>
      <c r="P1256" s="5">
        <f t="shared" si="228"/>
        <v>0</v>
      </c>
      <c r="Q1256">
        <f t="shared" si="217"/>
        <v>0</v>
      </c>
      <c r="R1256">
        <f t="shared" si="218"/>
        <v>0</v>
      </c>
      <c r="S1256">
        <f t="shared" si="219"/>
        <v>0</v>
      </c>
      <c r="T1256">
        <f t="shared" si="220"/>
        <v>0</v>
      </c>
      <c r="U1256">
        <f t="shared" si="221"/>
        <v>0</v>
      </c>
      <c r="V1256">
        <f t="shared" si="222"/>
        <v>0</v>
      </c>
      <c r="W1256">
        <f t="shared" si="223"/>
        <v>0</v>
      </c>
      <c r="X1256">
        <f t="shared" si="224"/>
        <v>0</v>
      </c>
      <c r="Y1256">
        <f t="shared" si="225"/>
        <v>0</v>
      </c>
      <c r="Z1256">
        <f t="shared" si="226"/>
        <v>0</v>
      </c>
      <c r="AA1256" t="str">
        <f>INDEX('Priority activities'!$D$5:$D$86,MATCH('Database for analysis'!C1256,'Priority activities'!$C$5:$C$86,0))</f>
        <v>n/a</v>
      </c>
    </row>
    <row r="1257" spans="2:27" ht="16.5" thickTop="1" thickBot="1" x14ac:dyDescent="0.3">
      <c r="B1257" t="s">
        <v>195</v>
      </c>
      <c r="C1257" s="22" t="str">
        <f>'Costing inputs'!$C$273</f>
        <v>Revise CHA training curriculum and retrain (SDA9)</v>
      </c>
      <c r="D1257" s="22" t="str">
        <f>'Costing inputs'!$U$273</f>
        <v>Central level</v>
      </c>
      <c r="E1257" s="22" t="str">
        <f>'Regional splits'!$I$14</f>
        <v>Northern</v>
      </c>
      <c r="F1257">
        <v>0</v>
      </c>
      <c r="G1257">
        <v>0</v>
      </c>
      <c r="H1257">
        <v>0</v>
      </c>
      <c r="I1257">
        <v>0</v>
      </c>
      <c r="J1257">
        <v>0</v>
      </c>
      <c r="K1257">
        <v>0</v>
      </c>
      <c r="L1257">
        <v>0</v>
      </c>
      <c r="M1257">
        <v>0</v>
      </c>
      <c r="N1257">
        <v>0</v>
      </c>
      <c r="O1257">
        <v>0</v>
      </c>
      <c r="P1257" s="5">
        <f t="shared" si="228"/>
        <v>0</v>
      </c>
      <c r="Q1257">
        <f t="shared" si="217"/>
        <v>0</v>
      </c>
      <c r="R1257">
        <f t="shared" si="218"/>
        <v>0</v>
      </c>
      <c r="S1257">
        <f t="shared" si="219"/>
        <v>0</v>
      </c>
      <c r="T1257">
        <f t="shared" si="220"/>
        <v>0</v>
      </c>
      <c r="U1257">
        <f t="shared" si="221"/>
        <v>0</v>
      </c>
      <c r="V1257">
        <f t="shared" si="222"/>
        <v>0</v>
      </c>
      <c r="W1257">
        <f t="shared" si="223"/>
        <v>0</v>
      </c>
      <c r="X1257">
        <f t="shared" si="224"/>
        <v>0</v>
      </c>
      <c r="Y1257">
        <f t="shared" si="225"/>
        <v>0</v>
      </c>
      <c r="Z1257">
        <f t="shared" si="226"/>
        <v>0</v>
      </c>
      <c r="AA1257" t="str">
        <f>INDEX('Priority activities'!$D$5:$D$86,MATCH('Database for analysis'!C1257,'Priority activities'!$C$5:$C$86,0))</f>
        <v>n/a</v>
      </c>
    </row>
    <row r="1258" spans="2:27" ht="16.5" thickTop="1" thickBot="1" x14ac:dyDescent="0.3">
      <c r="B1258" t="s">
        <v>195</v>
      </c>
      <c r="C1258" s="22" t="str">
        <f>'Costing inputs'!$C$273</f>
        <v>Revise CHA training curriculum and retrain (SDA9)</v>
      </c>
      <c r="D1258" s="22" t="str">
        <f>'Costing inputs'!$U$273</f>
        <v>Central level</v>
      </c>
      <c r="E1258" s="22" t="str">
        <f>'Regional splits'!$J$14</f>
        <v>North Western</v>
      </c>
      <c r="F1258">
        <v>0</v>
      </c>
      <c r="G1258">
        <v>0</v>
      </c>
      <c r="H1258">
        <v>0</v>
      </c>
      <c r="I1258">
        <v>0</v>
      </c>
      <c r="J1258">
        <v>0</v>
      </c>
      <c r="K1258">
        <v>0</v>
      </c>
      <c r="L1258">
        <v>0</v>
      </c>
      <c r="M1258">
        <v>0</v>
      </c>
      <c r="N1258">
        <v>0</v>
      </c>
      <c r="O1258">
        <v>0</v>
      </c>
      <c r="P1258" s="5">
        <f t="shared" si="228"/>
        <v>0</v>
      </c>
      <c r="Q1258">
        <f t="shared" si="217"/>
        <v>0</v>
      </c>
      <c r="R1258">
        <f t="shared" si="218"/>
        <v>0</v>
      </c>
      <c r="S1258">
        <f t="shared" si="219"/>
        <v>0</v>
      </c>
      <c r="T1258">
        <f t="shared" si="220"/>
        <v>0</v>
      </c>
      <c r="U1258">
        <f t="shared" si="221"/>
        <v>0</v>
      </c>
      <c r="V1258">
        <f t="shared" si="222"/>
        <v>0</v>
      </c>
      <c r="W1258">
        <f t="shared" si="223"/>
        <v>0</v>
      </c>
      <c r="X1258">
        <f t="shared" si="224"/>
        <v>0</v>
      </c>
      <c r="Y1258">
        <f t="shared" si="225"/>
        <v>0</v>
      </c>
      <c r="Z1258">
        <f t="shared" si="226"/>
        <v>0</v>
      </c>
      <c r="AA1258" t="str">
        <f>INDEX('Priority activities'!$D$5:$D$86,MATCH('Database for analysis'!C1258,'Priority activities'!$C$5:$C$86,0))</f>
        <v>n/a</v>
      </c>
    </row>
    <row r="1259" spans="2:27" ht="16.5" thickTop="1" thickBot="1" x14ac:dyDescent="0.3">
      <c r="B1259" t="s">
        <v>195</v>
      </c>
      <c r="C1259" s="22" t="str">
        <f>'Costing inputs'!$C$273</f>
        <v>Revise CHA training curriculum and retrain (SDA9)</v>
      </c>
      <c r="D1259" s="22" t="str">
        <f>'Costing inputs'!$U$273</f>
        <v>Central level</v>
      </c>
      <c r="E1259" s="22" t="str">
        <f>'Regional splits'!$K$14</f>
        <v>Southern</v>
      </c>
      <c r="F1259">
        <v>0</v>
      </c>
      <c r="G1259">
        <v>0</v>
      </c>
      <c r="H1259">
        <v>0</v>
      </c>
      <c r="I1259">
        <v>0</v>
      </c>
      <c r="J1259">
        <v>0</v>
      </c>
      <c r="K1259">
        <v>0</v>
      </c>
      <c r="L1259">
        <v>0</v>
      </c>
      <c r="M1259">
        <v>0</v>
      </c>
      <c r="N1259">
        <v>0</v>
      </c>
      <c r="O1259">
        <v>0</v>
      </c>
      <c r="P1259" s="5">
        <f t="shared" si="228"/>
        <v>0</v>
      </c>
      <c r="Q1259">
        <f t="shared" si="217"/>
        <v>0</v>
      </c>
      <c r="R1259">
        <f t="shared" si="218"/>
        <v>0</v>
      </c>
      <c r="S1259">
        <f t="shared" si="219"/>
        <v>0</v>
      </c>
      <c r="T1259">
        <f t="shared" si="220"/>
        <v>0</v>
      </c>
      <c r="U1259">
        <f t="shared" si="221"/>
        <v>0</v>
      </c>
      <c r="V1259">
        <f t="shared" si="222"/>
        <v>0</v>
      </c>
      <c r="W1259">
        <f t="shared" si="223"/>
        <v>0</v>
      </c>
      <c r="X1259">
        <f t="shared" si="224"/>
        <v>0</v>
      </c>
      <c r="Y1259">
        <f t="shared" si="225"/>
        <v>0</v>
      </c>
      <c r="Z1259">
        <f t="shared" si="226"/>
        <v>0</v>
      </c>
      <c r="AA1259" t="str">
        <f>INDEX('Priority activities'!$D$5:$D$86,MATCH('Database for analysis'!C1259,'Priority activities'!$C$5:$C$86,0))</f>
        <v>n/a</v>
      </c>
    </row>
    <row r="1260" spans="2:27" ht="16.5" thickTop="1" thickBot="1" x14ac:dyDescent="0.3">
      <c r="B1260" t="s">
        <v>195</v>
      </c>
      <c r="C1260" s="22" t="str">
        <f>'Costing inputs'!$C$273</f>
        <v>Revise CHA training curriculum and retrain (SDA9)</v>
      </c>
      <c r="D1260" s="22" t="str">
        <f>'Costing inputs'!$U$273</f>
        <v>Central level</v>
      </c>
      <c r="E1260" s="22" t="str">
        <f>'Regional splits'!$L$14</f>
        <v>Western</v>
      </c>
      <c r="F1260">
        <v>0</v>
      </c>
      <c r="G1260">
        <v>0</v>
      </c>
      <c r="H1260">
        <v>0</v>
      </c>
      <c r="I1260">
        <v>0</v>
      </c>
      <c r="J1260">
        <v>0</v>
      </c>
      <c r="K1260">
        <v>0</v>
      </c>
      <c r="L1260">
        <v>0</v>
      </c>
      <c r="M1260">
        <v>0</v>
      </c>
      <c r="N1260">
        <v>0</v>
      </c>
      <c r="O1260">
        <v>0</v>
      </c>
      <c r="P1260" s="5">
        <f t="shared" si="228"/>
        <v>0</v>
      </c>
      <c r="Q1260">
        <f t="shared" si="217"/>
        <v>0</v>
      </c>
      <c r="R1260">
        <f t="shared" si="218"/>
        <v>0</v>
      </c>
      <c r="S1260">
        <f t="shared" si="219"/>
        <v>0</v>
      </c>
      <c r="T1260">
        <f t="shared" si="220"/>
        <v>0</v>
      </c>
      <c r="U1260">
        <f t="shared" si="221"/>
        <v>0</v>
      </c>
      <c r="V1260">
        <f t="shared" si="222"/>
        <v>0</v>
      </c>
      <c r="W1260">
        <f t="shared" si="223"/>
        <v>0</v>
      </c>
      <c r="X1260">
        <f t="shared" si="224"/>
        <v>0</v>
      </c>
      <c r="Y1260">
        <f t="shared" si="225"/>
        <v>0</v>
      </c>
      <c r="Z1260">
        <f t="shared" si="226"/>
        <v>0</v>
      </c>
      <c r="AA1260" t="str">
        <f>INDEX('Priority activities'!$D$5:$D$86,MATCH('Database for analysis'!C1260,'Priority activities'!$C$5:$C$86,0))</f>
        <v>n/a</v>
      </c>
    </row>
    <row r="1261" spans="2:27" ht="16.5" thickTop="1" thickBot="1" x14ac:dyDescent="0.3">
      <c r="B1261" t="s">
        <v>195</v>
      </c>
      <c r="C1261" s="22" t="str">
        <f>'Costing inputs'!$C$273</f>
        <v>Revise CHA training curriculum and retrain (SDA9)</v>
      </c>
      <c r="D1261" s="22" t="str">
        <f>'Costing inputs'!$U$273</f>
        <v>Central level</v>
      </c>
      <c r="E1261" s="22">
        <f>'Regional splits'!$M$14</f>
        <v>0</v>
      </c>
      <c r="F1261">
        <v>0</v>
      </c>
      <c r="G1261">
        <v>0</v>
      </c>
      <c r="H1261">
        <v>0</v>
      </c>
      <c r="I1261">
        <v>0</v>
      </c>
      <c r="J1261">
        <v>0</v>
      </c>
      <c r="K1261">
        <v>0</v>
      </c>
      <c r="L1261">
        <v>0</v>
      </c>
      <c r="M1261">
        <v>0</v>
      </c>
      <c r="N1261">
        <v>0</v>
      </c>
      <c r="O1261">
        <v>0</v>
      </c>
      <c r="P1261" s="5">
        <f t="shared" si="228"/>
        <v>0</v>
      </c>
      <c r="Q1261">
        <f t="shared" si="217"/>
        <v>0</v>
      </c>
      <c r="R1261">
        <f t="shared" si="218"/>
        <v>0</v>
      </c>
      <c r="S1261">
        <f t="shared" si="219"/>
        <v>0</v>
      </c>
      <c r="T1261">
        <f t="shared" si="220"/>
        <v>0</v>
      </c>
      <c r="U1261">
        <f t="shared" si="221"/>
        <v>0</v>
      </c>
      <c r="V1261">
        <f t="shared" si="222"/>
        <v>0</v>
      </c>
      <c r="W1261">
        <f t="shared" si="223"/>
        <v>0</v>
      </c>
      <c r="X1261">
        <f t="shared" si="224"/>
        <v>0</v>
      </c>
      <c r="Y1261">
        <f t="shared" si="225"/>
        <v>0</v>
      </c>
      <c r="Z1261">
        <f t="shared" si="226"/>
        <v>0</v>
      </c>
      <c r="AA1261" t="str">
        <f>INDEX('Priority activities'!$D$5:$D$86,MATCH('Database for analysis'!C1261,'Priority activities'!$C$5:$C$86,0))</f>
        <v>n/a</v>
      </c>
    </row>
    <row r="1262" spans="2:27" ht="16.5" thickTop="1" thickBot="1" x14ac:dyDescent="0.3">
      <c r="B1262" t="s">
        <v>195</v>
      </c>
      <c r="C1262" s="22" t="str">
        <f>'Costing inputs'!$C$273</f>
        <v>Revise CHA training curriculum and retrain (SDA9)</v>
      </c>
      <c r="D1262" s="22" t="str">
        <f>'Costing inputs'!$U$273</f>
        <v>Central level</v>
      </c>
      <c r="E1262" s="22">
        <f>'Regional splits'!$N$14</f>
        <v>0</v>
      </c>
      <c r="F1262">
        <v>0</v>
      </c>
      <c r="G1262">
        <v>0</v>
      </c>
      <c r="H1262">
        <v>0</v>
      </c>
      <c r="I1262">
        <v>0</v>
      </c>
      <c r="J1262">
        <v>0</v>
      </c>
      <c r="K1262">
        <v>0</v>
      </c>
      <c r="L1262">
        <v>0</v>
      </c>
      <c r="M1262">
        <v>0</v>
      </c>
      <c r="N1262">
        <v>0</v>
      </c>
      <c r="O1262">
        <v>0</v>
      </c>
      <c r="P1262" s="5">
        <f t="shared" si="228"/>
        <v>0</v>
      </c>
      <c r="Q1262">
        <f t="shared" si="217"/>
        <v>0</v>
      </c>
      <c r="R1262">
        <f t="shared" si="218"/>
        <v>0</v>
      </c>
      <c r="S1262">
        <f t="shared" si="219"/>
        <v>0</v>
      </c>
      <c r="T1262">
        <f t="shared" si="220"/>
        <v>0</v>
      </c>
      <c r="U1262">
        <f t="shared" si="221"/>
        <v>0</v>
      </c>
      <c r="V1262">
        <f t="shared" si="222"/>
        <v>0</v>
      </c>
      <c r="W1262">
        <f t="shared" si="223"/>
        <v>0</v>
      </c>
      <c r="X1262">
        <f t="shared" si="224"/>
        <v>0</v>
      </c>
      <c r="Y1262">
        <f t="shared" si="225"/>
        <v>0</v>
      </c>
      <c r="Z1262">
        <f t="shared" si="226"/>
        <v>0</v>
      </c>
      <c r="AA1262" t="str">
        <f>INDEX('Priority activities'!$D$5:$D$86,MATCH('Database for analysis'!C1262,'Priority activities'!$C$5:$C$86,0))</f>
        <v>n/a</v>
      </c>
    </row>
    <row r="1263" spans="2:27" ht="16.5" thickTop="1" thickBot="1" x14ac:dyDescent="0.3">
      <c r="B1263" t="s">
        <v>195</v>
      </c>
      <c r="C1263" s="22" t="str">
        <f>'Costing inputs'!$C$273</f>
        <v>Revise CHA training curriculum and retrain (SDA9)</v>
      </c>
      <c r="D1263" s="22" t="str">
        <f>'Costing inputs'!$U$273</f>
        <v>Central level</v>
      </c>
      <c r="E1263" s="22">
        <f>'Regional splits'!$O$14</f>
        <v>0</v>
      </c>
      <c r="F1263">
        <v>0</v>
      </c>
      <c r="G1263">
        <v>0</v>
      </c>
      <c r="H1263">
        <v>0</v>
      </c>
      <c r="I1263">
        <v>0</v>
      </c>
      <c r="J1263">
        <v>0</v>
      </c>
      <c r="K1263">
        <v>0</v>
      </c>
      <c r="L1263">
        <v>0</v>
      </c>
      <c r="M1263">
        <v>0</v>
      </c>
      <c r="N1263">
        <v>0</v>
      </c>
      <c r="O1263">
        <v>0</v>
      </c>
      <c r="P1263" s="5">
        <f t="shared" si="228"/>
        <v>0</v>
      </c>
      <c r="Q1263">
        <f t="shared" si="217"/>
        <v>0</v>
      </c>
      <c r="R1263">
        <f t="shared" si="218"/>
        <v>0</v>
      </c>
      <c r="S1263">
        <f t="shared" si="219"/>
        <v>0</v>
      </c>
      <c r="T1263">
        <f t="shared" si="220"/>
        <v>0</v>
      </c>
      <c r="U1263">
        <f t="shared" si="221"/>
        <v>0</v>
      </c>
      <c r="V1263">
        <f t="shared" si="222"/>
        <v>0</v>
      </c>
      <c r="W1263">
        <f t="shared" si="223"/>
        <v>0</v>
      </c>
      <c r="X1263">
        <f t="shared" si="224"/>
        <v>0</v>
      </c>
      <c r="Y1263">
        <f t="shared" si="225"/>
        <v>0</v>
      </c>
      <c r="Z1263">
        <f t="shared" si="226"/>
        <v>0</v>
      </c>
      <c r="AA1263" t="str">
        <f>INDEX('Priority activities'!$D$5:$D$86,MATCH('Database for analysis'!C1263,'Priority activities'!$C$5:$C$86,0))</f>
        <v>n/a</v>
      </c>
    </row>
    <row r="1264" spans="2:27" ht="16.5" thickTop="1" thickBot="1" x14ac:dyDescent="0.3">
      <c r="B1264" t="s">
        <v>195</v>
      </c>
      <c r="C1264" s="22" t="str">
        <f>'Costing inputs'!$C$273</f>
        <v>Revise CHA training curriculum and retrain (SDA9)</v>
      </c>
      <c r="D1264" s="22" t="str">
        <f>'Costing inputs'!$U$273</f>
        <v>Central level</v>
      </c>
      <c r="E1264" s="22">
        <f>'Regional splits'!$P$14</f>
        <v>0</v>
      </c>
      <c r="F1264">
        <v>0</v>
      </c>
      <c r="G1264">
        <v>0</v>
      </c>
      <c r="H1264">
        <v>0</v>
      </c>
      <c r="I1264">
        <v>0</v>
      </c>
      <c r="J1264">
        <v>0</v>
      </c>
      <c r="K1264">
        <v>0</v>
      </c>
      <c r="L1264">
        <v>0</v>
      </c>
      <c r="M1264">
        <v>0</v>
      </c>
      <c r="N1264">
        <v>0</v>
      </c>
      <c r="O1264">
        <v>0</v>
      </c>
      <c r="P1264" s="5">
        <f t="shared" si="228"/>
        <v>0</v>
      </c>
      <c r="Q1264">
        <f t="shared" si="217"/>
        <v>0</v>
      </c>
      <c r="R1264">
        <f t="shared" si="218"/>
        <v>0</v>
      </c>
      <c r="S1264">
        <f t="shared" si="219"/>
        <v>0</v>
      </c>
      <c r="T1264">
        <f t="shared" si="220"/>
        <v>0</v>
      </c>
      <c r="U1264">
        <f t="shared" si="221"/>
        <v>0</v>
      </c>
      <c r="V1264">
        <f t="shared" si="222"/>
        <v>0</v>
      </c>
      <c r="W1264">
        <f t="shared" si="223"/>
        <v>0</v>
      </c>
      <c r="X1264">
        <f t="shared" si="224"/>
        <v>0</v>
      </c>
      <c r="Y1264">
        <f t="shared" si="225"/>
        <v>0</v>
      </c>
      <c r="Z1264">
        <f t="shared" si="226"/>
        <v>0</v>
      </c>
      <c r="AA1264" t="str">
        <f>INDEX('Priority activities'!$D$5:$D$86,MATCH('Database for analysis'!C1264,'Priority activities'!$C$5:$C$86,0))</f>
        <v>n/a</v>
      </c>
    </row>
    <row r="1265" spans="2:27" ht="16.5" thickTop="1" thickBot="1" x14ac:dyDescent="0.3">
      <c r="B1265" t="s">
        <v>195</v>
      </c>
      <c r="C1265" s="22" t="str">
        <f>'Costing inputs'!$C$273</f>
        <v>Revise CHA training curriculum and retrain (SDA9)</v>
      </c>
      <c r="D1265" s="22" t="str">
        <f>'Costing inputs'!$U$273</f>
        <v>Central level</v>
      </c>
      <c r="E1265" s="22">
        <f>'Regional splits'!$Q$14</f>
        <v>0</v>
      </c>
      <c r="F1265">
        <v>0</v>
      </c>
      <c r="G1265">
        <v>0</v>
      </c>
      <c r="H1265">
        <v>0</v>
      </c>
      <c r="I1265">
        <v>0</v>
      </c>
      <c r="J1265">
        <v>0</v>
      </c>
      <c r="K1265">
        <v>0</v>
      </c>
      <c r="L1265">
        <v>0</v>
      </c>
      <c r="M1265">
        <v>0</v>
      </c>
      <c r="N1265">
        <v>0</v>
      </c>
      <c r="O1265">
        <v>0</v>
      </c>
      <c r="P1265" s="5">
        <f t="shared" si="228"/>
        <v>0</v>
      </c>
      <c r="Q1265">
        <f t="shared" si="217"/>
        <v>0</v>
      </c>
      <c r="R1265">
        <f t="shared" si="218"/>
        <v>0</v>
      </c>
      <c r="S1265">
        <f t="shared" si="219"/>
        <v>0</v>
      </c>
      <c r="T1265">
        <f t="shared" si="220"/>
        <v>0</v>
      </c>
      <c r="U1265">
        <f t="shared" si="221"/>
        <v>0</v>
      </c>
      <c r="V1265">
        <f t="shared" si="222"/>
        <v>0</v>
      </c>
      <c r="W1265">
        <f t="shared" si="223"/>
        <v>0</v>
      </c>
      <c r="X1265">
        <f t="shared" si="224"/>
        <v>0</v>
      </c>
      <c r="Y1265">
        <f t="shared" si="225"/>
        <v>0</v>
      </c>
      <c r="Z1265">
        <f t="shared" si="226"/>
        <v>0</v>
      </c>
      <c r="AA1265" t="str">
        <f>INDEX('Priority activities'!$D$5:$D$86,MATCH('Database for analysis'!C1265,'Priority activities'!$C$5:$C$86,0))</f>
        <v>n/a</v>
      </c>
    </row>
    <row r="1266" spans="2:27" ht="16.5" thickTop="1" thickBot="1" x14ac:dyDescent="0.3">
      <c r="B1266" t="s">
        <v>195</v>
      </c>
      <c r="C1266" s="22" t="str">
        <f>'Costing inputs'!$C$273</f>
        <v>Revise CHA training curriculum and retrain (SDA9)</v>
      </c>
      <c r="D1266" s="22" t="str">
        <f>'Costing inputs'!$U$273</f>
        <v>Central level</v>
      </c>
      <c r="E1266" s="22" t="str">
        <f>'Regional splits'!$R$14</f>
        <v>National-level</v>
      </c>
      <c r="F1266">
        <v>0</v>
      </c>
      <c r="G1266">
        <v>0</v>
      </c>
      <c r="H1266">
        <v>1878778.068</v>
      </c>
      <c r="I1266">
        <v>0</v>
      </c>
      <c r="J1266">
        <v>0</v>
      </c>
      <c r="K1266">
        <v>0</v>
      </c>
      <c r="L1266">
        <v>0</v>
      </c>
      <c r="M1266">
        <v>0</v>
      </c>
      <c r="N1266">
        <v>0</v>
      </c>
      <c r="O1266">
        <v>0</v>
      </c>
      <c r="P1266" s="5">
        <f t="shared" si="228"/>
        <v>1878778.068</v>
      </c>
      <c r="Q1266">
        <f t="shared" si="217"/>
        <v>0</v>
      </c>
      <c r="R1266">
        <f t="shared" si="218"/>
        <v>0</v>
      </c>
      <c r="S1266">
        <f t="shared" si="219"/>
        <v>1878778.068</v>
      </c>
      <c r="T1266">
        <f t="shared" si="220"/>
        <v>0</v>
      </c>
      <c r="U1266">
        <f t="shared" si="221"/>
        <v>0</v>
      </c>
      <c r="V1266">
        <f t="shared" si="222"/>
        <v>0</v>
      </c>
      <c r="W1266">
        <f t="shared" si="223"/>
        <v>0</v>
      </c>
      <c r="X1266">
        <f t="shared" si="224"/>
        <v>0</v>
      </c>
      <c r="Y1266">
        <f t="shared" si="225"/>
        <v>0</v>
      </c>
      <c r="Z1266">
        <f t="shared" si="226"/>
        <v>0</v>
      </c>
      <c r="AA1266" t="str">
        <f>INDEX('Priority activities'!$D$5:$D$86,MATCH('Database for analysis'!C1266,'Priority activities'!$C$5:$C$86,0))</f>
        <v>n/a</v>
      </c>
    </row>
    <row r="1267" spans="2:27" ht="16.5" thickTop="1" thickBot="1" x14ac:dyDescent="0.3">
      <c r="B1267" t="s">
        <v>195</v>
      </c>
      <c r="C1267" s="22" t="str">
        <f>'Costing inputs'!$C$282</f>
        <v>SDA 10 - Equiping Health Facilities</v>
      </c>
      <c r="D1267" s="22" t="str">
        <f>'Costing inputs'!$U$282</f>
        <v>Health facilities (service delivery points)</v>
      </c>
      <c r="E1267" s="22" t="str">
        <f>'Regional splits'!$C$14</f>
        <v>Central</v>
      </c>
      <c r="F1267">
        <f t="array" ref="F1267:O1282">'Costing inputs'!S282*'Costing inputs'!AP282:AY282*TRANSPOSE('Costing inputs'!W282:AL282)</f>
        <v>0</v>
      </c>
      <c r="G1267">
        <v>0</v>
      </c>
      <c r="H1267">
        <v>0</v>
      </c>
      <c r="I1267">
        <v>0</v>
      </c>
      <c r="J1267">
        <v>286436.5995762712</v>
      </c>
      <c r="K1267">
        <v>0</v>
      </c>
      <c r="L1267">
        <v>0</v>
      </c>
      <c r="M1267">
        <v>286436.5995762712</v>
      </c>
      <c r="N1267">
        <v>0</v>
      </c>
      <c r="O1267">
        <v>0</v>
      </c>
      <c r="P1267" s="5">
        <f t="shared" ref="P1267:P1282" si="229">SUMIF(F1267:O1267,"&lt;&gt;#N/A")</f>
        <v>572873.19915254239</v>
      </c>
      <c r="Q1267">
        <f t="shared" si="217"/>
        <v>0</v>
      </c>
      <c r="R1267">
        <f t="shared" si="218"/>
        <v>0</v>
      </c>
      <c r="S1267">
        <f t="shared" si="219"/>
        <v>0</v>
      </c>
      <c r="T1267">
        <f t="shared" si="220"/>
        <v>0</v>
      </c>
      <c r="U1267">
        <f t="shared" si="221"/>
        <v>286436.5995762712</v>
      </c>
      <c r="V1267">
        <f t="shared" si="222"/>
        <v>0</v>
      </c>
      <c r="W1267">
        <f t="shared" si="223"/>
        <v>0</v>
      </c>
      <c r="X1267">
        <f t="shared" si="224"/>
        <v>286436.5995762712</v>
      </c>
      <c r="Y1267">
        <f t="shared" si="225"/>
        <v>0</v>
      </c>
      <c r="Z1267">
        <f t="shared" si="226"/>
        <v>0</v>
      </c>
      <c r="AA1267" t="str">
        <f>INDEX('Priority activities'!$D$5:$D$86,MATCH('Database for analysis'!C1267,'Priority activities'!$C$5:$C$86,0))</f>
        <v>n/a</v>
      </c>
    </row>
    <row r="1268" spans="2:27" ht="16.5" thickTop="1" thickBot="1" x14ac:dyDescent="0.3">
      <c r="B1268" t="s">
        <v>195</v>
      </c>
      <c r="C1268" s="22" t="str">
        <f>'Costing inputs'!$C$282</f>
        <v>SDA 10 - Equiping Health Facilities</v>
      </c>
      <c r="D1268" s="22" t="str">
        <f>'Costing inputs'!$U$282</f>
        <v>Health facilities (service delivery points)</v>
      </c>
      <c r="E1268" s="22" t="str">
        <f>'Regional splits'!$D$14</f>
        <v>Copperbelt</v>
      </c>
      <c r="F1268">
        <v>0</v>
      </c>
      <c r="G1268">
        <v>0</v>
      </c>
      <c r="H1268">
        <v>0</v>
      </c>
      <c r="I1268">
        <v>0</v>
      </c>
      <c r="J1268">
        <v>342132.60504943505</v>
      </c>
      <c r="K1268">
        <v>0</v>
      </c>
      <c r="L1268">
        <v>0</v>
      </c>
      <c r="M1268">
        <v>342132.60504943505</v>
      </c>
      <c r="N1268">
        <v>0</v>
      </c>
      <c r="O1268">
        <v>0</v>
      </c>
      <c r="P1268" s="5">
        <f t="shared" si="229"/>
        <v>684265.2100988701</v>
      </c>
      <c r="Q1268">
        <f t="shared" si="217"/>
        <v>0</v>
      </c>
      <c r="R1268">
        <f t="shared" si="218"/>
        <v>0</v>
      </c>
      <c r="S1268">
        <f t="shared" si="219"/>
        <v>0</v>
      </c>
      <c r="T1268">
        <f t="shared" si="220"/>
        <v>0</v>
      </c>
      <c r="U1268">
        <f t="shared" si="221"/>
        <v>342132.60504943505</v>
      </c>
      <c r="V1268">
        <f t="shared" si="222"/>
        <v>0</v>
      </c>
      <c r="W1268">
        <f t="shared" si="223"/>
        <v>0</v>
      </c>
      <c r="X1268">
        <f t="shared" si="224"/>
        <v>342132.60504943505</v>
      </c>
      <c r="Y1268">
        <f t="shared" si="225"/>
        <v>0</v>
      </c>
      <c r="Z1268">
        <f t="shared" si="226"/>
        <v>0</v>
      </c>
      <c r="AA1268" t="str">
        <f>INDEX('Priority activities'!$D$5:$D$86,MATCH('Database for analysis'!C1268,'Priority activities'!$C$5:$C$86,0))</f>
        <v>n/a</v>
      </c>
    </row>
    <row r="1269" spans="2:27" ht="16.5" thickTop="1" thickBot="1" x14ac:dyDescent="0.3">
      <c r="B1269" t="s">
        <v>195</v>
      </c>
      <c r="C1269" s="22" t="str">
        <f>'Costing inputs'!$C$282</f>
        <v>SDA 10 - Equiping Health Facilities</v>
      </c>
      <c r="D1269" s="22" t="str">
        <f>'Costing inputs'!$U$282</f>
        <v>Health facilities (service delivery points)</v>
      </c>
      <c r="E1269" s="22" t="str">
        <f>'Regional splits'!$E$14</f>
        <v>Eastern</v>
      </c>
      <c r="F1269">
        <v>0</v>
      </c>
      <c r="G1269">
        <v>0</v>
      </c>
      <c r="H1269">
        <v>0</v>
      </c>
      <c r="I1269">
        <v>0</v>
      </c>
      <c r="J1269">
        <v>311897.63064971752</v>
      </c>
      <c r="K1269">
        <v>0</v>
      </c>
      <c r="L1269">
        <v>0</v>
      </c>
      <c r="M1269">
        <v>311897.63064971752</v>
      </c>
      <c r="N1269">
        <v>0</v>
      </c>
      <c r="O1269">
        <v>0</v>
      </c>
      <c r="P1269" s="5">
        <f t="shared" si="229"/>
        <v>623795.26129943505</v>
      </c>
      <c r="Q1269">
        <f t="shared" si="217"/>
        <v>0</v>
      </c>
      <c r="R1269">
        <f t="shared" si="218"/>
        <v>0</v>
      </c>
      <c r="S1269">
        <f t="shared" si="219"/>
        <v>0</v>
      </c>
      <c r="T1269">
        <f t="shared" si="220"/>
        <v>0</v>
      </c>
      <c r="U1269">
        <f t="shared" si="221"/>
        <v>311897.63064971752</v>
      </c>
      <c r="V1269">
        <f t="shared" si="222"/>
        <v>0</v>
      </c>
      <c r="W1269">
        <f t="shared" si="223"/>
        <v>0</v>
      </c>
      <c r="X1269">
        <f t="shared" si="224"/>
        <v>311897.63064971752</v>
      </c>
      <c r="Y1269">
        <f t="shared" si="225"/>
        <v>0</v>
      </c>
      <c r="Z1269">
        <f t="shared" si="226"/>
        <v>0</v>
      </c>
      <c r="AA1269" t="str">
        <f>INDEX('Priority activities'!$D$5:$D$86,MATCH('Database for analysis'!C1269,'Priority activities'!$C$5:$C$86,0))</f>
        <v>n/a</v>
      </c>
    </row>
    <row r="1270" spans="2:27" ht="16.5" thickTop="1" thickBot="1" x14ac:dyDescent="0.3">
      <c r="B1270" t="s">
        <v>195</v>
      </c>
      <c r="C1270" s="22" t="str">
        <f>'Costing inputs'!$C$282</f>
        <v>SDA 10 - Equiping Health Facilities</v>
      </c>
      <c r="D1270" s="22" t="str">
        <f>'Costing inputs'!$U$282</f>
        <v>Health facilities (service delivery points)</v>
      </c>
      <c r="E1270" s="22" t="str">
        <f>'Regional splits'!$F$14</f>
        <v>Luapula</v>
      </c>
      <c r="F1270">
        <v>0</v>
      </c>
      <c r="G1270">
        <v>0</v>
      </c>
      <c r="H1270">
        <v>0</v>
      </c>
      <c r="I1270">
        <v>0</v>
      </c>
      <c r="J1270">
        <v>216418.76412429381</v>
      </c>
      <c r="K1270">
        <v>0</v>
      </c>
      <c r="L1270">
        <v>0</v>
      </c>
      <c r="M1270">
        <v>216418.76412429381</v>
      </c>
      <c r="N1270">
        <v>0</v>
      </c>
      <c r="O1270">
        <v>0</v>
      </c>
      <c r="P1270" s="5">
        <f t="shared" si="229"/>
        <v>432837.52824858762</v>
      </c>
      <c r="Q1270">
        <f t="shared" si="217"/>
        <v>0</v>
      </c>
      <c r="R1270">
        <f t="shared" si="218"/>
        <v>0</v>
      </c>
      <c r="S1270">
        <f t="shared" si="219"/>
        <v>0</v>
      </c>
      <c r="T1270">
        <f t="shared" si="220"/>
        <v>0</v>
      </c>
      <c r="U1270">
        <f t="shared" si="221"/>
        <v>216418.76412429381</v>
      </c>
      <c r="V1270">
        <f t="shared" si="222"/>
        <v>0</v>
      </c>
      <c r="W1270">
        <f t="shared" si="223"/>
        <v>0</v>
      </c>
      <c r="X1270">
        <f t="shared" si="224"/>
        <v>216418.76412429381</v>
      </c>
      <c r="Y1270">
        <f t="shared" si="225"/>
        <v>0</v>
      </c>
      <c r="Z1270">
        <f t="shared" si="226"/>
        <v>0</v>
      </c>
      <c r="AA1270" t="str">
        <f>INDEX('Priority activities'!$D$5:$D$86,MATCH('Database for analysis'!C1270,'Priority activities'!$C$5:$C$86,0))</f>
        <v>n/a</v>
      </c>
    </row>
    <row r="1271" spans="2:27" ht="16.5" thickTop="1" thickBot="1" x14ac:dyDescent="0.3">
      <c r="B1271" t="s">
        <v>195</v>
      </c>
      <c r="C1271" s="22" t="str">
        <f>'Costing inputs'!$C$282</f>
        <v>SDA 10 - Equiping Health Facilities</v>
      </c>
      <c r="D1271" s="22" t="str">
        <f>'Costing inputs'!$U$282</f>
        <v>Health facilities (service delivery points)</v>
      </c>
      <c r="E1271" s="22" t="str">
        <f>'Regional splits'!$G$14</f>
        <v>Lusaka</v>
      </c>
      <c r="F1271">
        <v>0</v>
      </c>
      <c r="G1271">
        <v>0</v>
      </c>
      <c r="H1271">
        <v>0</v>
      </c>
      <c r="I1271">
        <v>0</v>
      </c>
      <c r="J1271">
        <v>415333.06938559323</v>
      </c>
      <c r="K1271">
        <v>0</v>
      </c>
      <c r="L1271">
        <v>0</v>
      </c>
      <c r="M1271">
        <v>415333.06938559323</v>
      </c>
      <c r="N1271">
        <v>0</v>
      </c>
      <c r="O1271">
        <v>0</v>
      </c>
      <c r="P1271" s="5">
        <f t="shared" si="229"/>
        <v>830666.13877118647</v>
      </c>
      <c r="Q1271">
        <f t="shared" si="217"/>
        <v>0</v>
      </c>
      <c r="R1271">
        <f t="shared" si="218"/>
        <v>0</v>
      </c>
      <c r="S1271">
        <f t="shared" si="219"/>
        <v>0</v>
      </c>
      <c r="T1271">
        <f t="shared" si="220"/>
        <v>0</v>
      </c>
      <c r="U1271">
        <f t="shared" si="221"/>
        <v>415333.06938559323</v>
      </c>
      <c r="V1271">
        <f t="shared" si="222"/>
        <v>0</v>
      </c>
      <c r="W1271">
        <f t="shared" si="223"/>
        <v>0</v>
      </c>
      <c r="X1271">
        <f t="shared" si="224"/>
        <v>415333.06938559323</v>
      </c>
      <c r="Y1271">
        <f t="shared" si="225"/>
        <v>0</v>
      </c>
      <c r="Z1271">
        <f t="shared" si="226"/>
        <v>0</v>
      </c>
      <c r="AA1271" t="str">
        <f>INDEX('Priority activities'!$D$5:$D$86,MATCH('Database for analysis'!C1271,'Priority activities'!$C$5:$C$86,0))</f>
        <v>n/a</v>
      </c>
    </row>
    <row r="1272" spans="2:27" ht="16.5" thickTop="1" thickBot="1" x14ac:dyDescent="0.3">
      <c r="B1272" t="s">
        <v>195</v>
      </c>
      <c r="C1272" s="22" t="str">
        <f>'Costing inputs'!$C$282</f>
        <v>SDA 10 - Equiping Health Facilities</v>
      </c>
      <c r="D1272" s="22" t="str">
        <f>'Costing inputs'!$U$282</f>
        <v>Health facilities (service delivery points)</v>
      </c>
      <c r="E1272" s="22" t="str">
        <f>'Regional splits'!$H$14</f>
        <v>Muchinga</v>
      </c>
      <c r="F1272">
        <v>0</v>
      </c>
      <c r="G1272">
        <v>0</v>
      </c>
      <c r="H1272">
        <v>0</v>
      </c>
      <c r="I1272">
        <v>0</v>
      </c>
      <c r="J1272">
        <v>149583.55755649717</v>
      </c>
      <c r="K1272">
        <v>0</v>
      </c>
      <c r="L1272">
        <v>0</v>
      </c>
      <c r="M1272">
        <v>149583.55755649717</v>
      </c>
      <c r="N1272">
        <v>0</v>
      </c>
      <c r="O1272">
        <v>0</v>
      </c>
      <c r="P1272" s="5">
        <f t="shared" si="229"/>
        <v>299167.11511299433</v>
      </c>
      <c r="Q1272">
        <f t="shared" si="217"/>
        <v>0</v>
      </c>
      <c r="R1272">
        <f t="shared" si="218"/>
        <v>0</v>
      </c>
      <c r="S1272">
        <f t="shared" si="219"/>
        <v>0</v>
      </c>
      <c r="T1272">
        <f t="shared" si="220"/>
        <v>0</v>
      </c>
      <c r="U1272">
        <f t="shared" si="221"/>
        <v>149583.55755649717</v>
      </c>
      <c r="V1272">
        <f t="shared" si="222"/>
        <v>0</v>
      </c>
      <c r="W1272">
        <f t="shared" si="223"/>
        <v>0</v>
      </c>
      <c r="X1272">
        <f t="shared" si="224"/>
        <v>149583.55755649717</v>
      </c>
      <c r="Y1272">
        <f t="shared" si="225"/>
        <v>0</v>
      </c>
      <c r="Z1272">
        <f t="shared" si="226"/>
        <v>0</v>
      </c>
      <c r="AA1272" t="str">
        <f>INDEX('Priority activities'!$D$5:$D$86,MATCH('Database for analysis'!C1272,'Priority activities'!$C$5:$C$86,0))</f>
        <v>n/a</v>
      </c>
    </row>
    <row r="1273" spans="2:27" ht="16.5" thickTop="1" thickBot="1" x14ac:dyDescent="0.3">
      <c r="B1273" t="s">
        <v>195</v>
      </c>
      <c r="C1273" s="22" t="str">
        <f>'Costing inputs'!$C$282</f>
        <v>SDA 10 - Equiping Health Facilities</v>
      </c>
      <c r="D1273" s="22" t="str">
        <f>'Costing inputs'!$U$282</f>
        <v>Health facilities (service delivery points)</v>
      </c>
      <c r="E1273" s="22" t="str">
        <f>'Regional splits'!$I$14</f>
        <v>Northern</v>
      </c>
      <c r="F1273">
        <v>0</v>
      </c>
      <c r="G1273">
        <v>0</v>
      </c>
      <c r="H1273">
        <v>0</v>
      </c>
      <c r="I1273">
        <v>0</v>
      </c>
      <c r="J1273">
        <v>214827.44968220341</v>
      </c>
      <c r="K1273">
        <v>0</v>
      </c>
      <c r="L1273">
        <v>0</v>
      </c>
      <c r="M1273">
        <v>214827.44968220341</v>
      </c>
      <c r="N1273">
        <v>0</v>
      </c>
      <c r="O1273">
        <v>0</v>
      </c>
      <c r="P1273" s="5">
        <f t="shared" si="229"/>
        <v>429654.89936440683</v>
      </c>
      <c r="Q1273">
        <f t="shared" si="217"/>
        <v>0</v>
      </c>
      <c r="R1273">
        <f t="shared" si="218"/>
        <v>0</v>
      </c>
      <c r="S1273">
        <f t="shared" si="219"/>
        <v>0</v>
      </c>
      <c r="T1273">
        <f t="shared" si="220"/>
        <v>0</v>
      </c>
      <c r="U1273">
        <f t="shared" si="221"/>
        <v>214827.44968220341</v>
      </c>
      <c r="V1273">
        <f t="shared" si="222"/>
        <v>0</v>
      </c>
      <c r="W1273">
        <f t="shared" si="223"/>
        <v>0</v>
      </c>
      <c r="X1273">
        <f t="shared" si="224"/>
        <v>214827.44968220341</v>
      </c>
      <c r="Y1273">
        <f t="shared" si="225"/>
        <v>0</v>
      </c>
      <c r="Z1273">
        <f t="shared" si="226"/>
        <v>0</v>
      </c>
      <c r="AA1273" t="str">
        <f>INDEX('Priority activities'!$D$5:$D$86,MATCH('Database for analysis'!C1273,'Priority activities'!$C$5:$C$86,0))</f>
        <v>n/a</v>
      </c>
    </row>
    <row r="1274" spans="2:27" ht="16.5" thickTop="1" thickBot="1" x14ac:dyDescent="0.3">
      <c r="B1274" t="s">
        <v>195</v>
      </c>
      <c r="C1274" s="22" t="str">
        <f>'Costing inputs'!$C$282</f>
        <v>SDA 10 - Equiping Health Facilities</v>
      </c>
      <c r="D1274" s="22" t="str">
        <f>'Costing inputs'!$U$282</f>
        <v>Health facilities (service delivery points)</v>
      </c>
      <c r="E1274" s="22" t="str">
        <f>'Regional splits'!$J$14</f>
        <v>North Western</v>
      </c>
      <c r="F1274">
        <v>0</v>
      </c>
      <c r="G1274">
        <v>0</v>
      </c>
      <c r="H1274">
        <v>0</v>
      </c>
      <c r="I1274">
        <v>0</v>
      </c>
      <c r="J1274">
        <v>246653.73852401131</v>
      </c>
      <c r="K1274">
        <v>0</v>
      </c>
      <c r="L1274">
        <v>0</v>
      </c>
      <c r="M1274">
        <v>246653.73852401131</v>
      </c>
      <c r="N1274">
        <v>0</v>
      </c>
      <c r="O1274">
        <v>0</v>
      </c>
      <c r="P1274" s="5">
        <f t="shared" si="229"/>
        <v>493307.47704802261</v>
      </c>
      <c r="Q1274">
        <f t="shared" si="217"/>
        <v>0</v>
      </c>
      <c r="R1274">
        <f t="shared" si="218"/>
        <v>0</v>
      </c>
      <c r="S1274">
        <f t="shared" si="219"/>
        <v>0</v>
      </c>
      <c r="T1274">
        <f t="shared" si="220"/>
        <v>0</v>
      </c>
      <c r="U1274">
        <f t="shared" si="221"/>
        <v>246653.73852401131</v>
      </c>
      <c r="V1274">
        <f t="shared" si="222"/>
        <v>0</v>
      </c>
      <c r="W1274">
        <f t="shared" si="223"/>
        <v>0</v>
      </c>
      <c r="X1274">
        <f t="shared" si="224"/>
        <v>246653.73852401131</v>
      </c>
      <c r="Y1274">
        <f t="shared" si="225"/>
        <v>0</v>
      </c>
      <c r="Z1274">
        <f t="shared" si="226"/>
        <v>0</v>
      </c>
      <c r="AA1274" t="str">
        <f>INDEX('Priority activities'!$D$5:$D$86,MATCH('Database for analysis'!C1274,'Priority activities'!$C$5:$C$86,0))</f>
        <v>n/a</v>
      </c>
    </row>
    <row r="1275" spans="2:27" ht="16.5" thickTop="1" thickBot="1" x14ac:dyDescent="0.3">
      <c r="B1275" t="s">
        <v>195</v>
      </c>
      <c r="C1275" s="22" t="str">
        <f>'Costing inputs'!$C$282</f>
        <v>SDA 10 - Equiping Health Facilities</v>
      </c>
      <c r="D1275" s="22" t="str">
        <f>'Costing inputs'!$U$282</f>
        <v>Health facilities (service delivery points)</v>
      </c>
      <c r="E1275" s="22" t="str">
        <f>'Regional splits'!$K$14</f>
        <v>Southern</v>
      </c>
      <c r="F1275">
        <v>0</v>
      </c>
      <c r="G1275">
        <v>0</v>
      </c>
      <c r="H1275">
        <v>0</v>
      </c>
      <c r="I1275">
        <v>0</v>
      </c>
      <c r="J1275">
        <v>378732.83721751411</v>
      </c>
      <c r="K1275">
        <v>0</v>
      </c>
      <c r="L1275">
        <v>0</v>
      </c>
      <c r="M1275">
        <v>378732.83721751411</v>
      </c>
      <c r="N1275">
        <v>0</v>
      </c>
      <c r="O1275">
        <v>0</v>
      </c>
      <c r="P1275" s="5">
        <f t="shared" si="229"/>
        <v>757465.67443502822</v>
      </c>
      <c r="Q1275">
        <f t="shared" si="217"/>
        <v>0</v>
      </c>
      <c r="R1275">
        <f t="shared" si="218"/>
        <v>0</v>
      </c>
      <c r="S1275">
        <f t="shared" si="219"/>
        <v>0</v>
      </c>
      <c r="T1275">
        <f t="shared" si="220"/>
        <v>0</v>
      </c>
      <c r="U1275">
        <f t="shared" si="221"/>
        <v>378732.83721751411</v>
      </c>
      <c r="V1275">
        <f t="shared" si="222"/>
        <v>0</v>
      </c>
      <c r="W1275">
        <f t="shared" si="223"/>
        <v>0</v>
      </c>
      <c r="X1275">
        <f t="shared" si="224"/>
        <v>378732.83721751411</v>
      </c>
      <c r="Y1275">
        <f t="shared" si="225"/>
        <v>0</v>
      </c>
      <c r="Z1275">
        <f t="shared" si="226"/>
        <v>0</v>
      </c>
      <c r="AA1275" t="str">
        <f>INDEX('Priority activities'!$D$5:$D$86,MATCH('Database for analysis'!C1275,'Priority activities'!$C$5:$C$86,0))</f>
        <v>n/a</v>
      </c>
    </row>
    <row r="1276" spans="2:27" ht="16.5" thickTop="1" thickBot="1" x14ac:dyDescent="0.3">
      <c r="B1276" t="s">
        <v>195</v>
      </c>
      <c r="C1276" s="22" t="str">
        <f>'Costing inputs'!$C$282</f>
        <v>SDA 10 - Equiping Health Facilities</v>
      </c>
      <c r="D1276" s="22" t="str">
        <f>'Costing inputs'!$U$282</f>
        <v>Health facilities (service delivery points)</v>
      </c>
      <c r="E1276" s="22" t="str">
        <f>'Regional splits'!$L$14</f>
        <v>Western</v>
      </c>
      <c r="F1276">
        <v>0</v>
      </c>
      <c r="G1276">
        <v>0</v>
      </c>
      <c r="H1276">
        <v>0</v>
      </c>
      <c r="I1276">
        <v>0</v>
      </c>
      <c r="J1276">
        <v>254610.31073446327</v>
      </c>
      <c r="K1276">
        <v>0</v>
      </c>
      <c r="L1276">
        <v>0</v>
      </c>
      <c r="M1276">
        <v>254610.31073446327</v>
      </c>
      <c r="N1276">
        <v>0</v>
      </c>
      <c r="O1276">
        <v>0</v>
      </c>
      <c r="P1276" s="5">
        <f t="shared" si="229"/>
        <v>509220.62146892655</v>
      </c>
      <c r="Q1276">
        <f t="shared" si="217"/>
        <v>0</v>
      </c>
      <c r="R1276">
        <f t="shared" si="218"/>
        <v>0</v>
      </c>
      <c r="S1276">
        <f t="shared" si="219"/>
        <v>0</v>
      </c>
      <c r="T1276">
        <f t="shared" si="220"/>
        <v>0</v>
      </c>
      <c r="U1276">
        <f t="shared" si="221"/>
        <v>254610.31073446327</v>
      </c>
      <c r="V1276">
        <f t="shared" si="222"/>
        <v>0</v>
      </c>
      <c r="W1276">
        <f t="shared" si="223"/>
        <v>0</v>
      </c>
      <c r="X1276">
        <f t="shared" si="224"/>
        <v>254610.31073446327</v>
      </c>
      <c r="Y1276">
        <f t="shared" si="225"/>
        <v>0</v>
      </c>
      <c r="Z1276">
        <f t="shared" si="226"/>
        <v>0</v>
      </c>
      <c r="AA1276" t="str">
        <f>INDEX('Priority activities'!$D$5:$D$86,MATCH('Database for analysis'!C1276,'Priority activities'!$C$5:$C$86,0))</f>
        <v>n/a</v>
      </c>
    </row>
    <row r="1277" spans="2:27" ht="16.5" thickTop="1" thickBot="1" x14ac:dyDescent="0.3">
      <c r="B1277" t="s">
        <v>195</v>
      </c>
      <c r="C1277" s="22" t="str">
        <f>'Costing inputs'!$C$282</f>
        <v>SDA 10 - Equiping Health Facilities</v>
      </c>
      <c r="D1277" s="22" t="str">
        <f>'Costing inputs'!$U$282</f>
        <v>Health facilities (service delivery points)</v>
      </c>
      <c r="E1277" s="22">
        <f>'Regional splits'!$M$14</f>
        <v>0</v>
      </c>
      <c r="F1277">
        <v>0</v>
      </c>
      <c r="G1277">
        <v>0</v>
      </c>
      <c r="H1277">
        <v>0</v>
      </c>
      <c r="I1277">
        <v>0</v>
      </c>
      <c r="J1277">
        <v>0</v>
      </c>
      <c r="K1277">
        <v>0</v>
      </c>
      <c r="L1277">
        <v>0</v>
      </c>
      <c r="M1277">
        <v>0</v>
      </c>
      <c r="N1277">
        <v>0</v>
      </c>
      <c r="O1277">
        <v>0</v>
      </c>
      <c r="P1277" s="5">
        <f t="shared" si="229"/>
        <v>0</v>
      </c>
      <c r="Q1277">
        <f t="shared" si="217"/>
        <v>0</v>
      </c>
      <c r="R1277">
        <f t="shared" si="218"/>
        <v>0</v>
      </c>
      <c r="S1277">
        <f t="shared" si="219"/>
        <v>0</v>
      </c>
      <c r="T1277">
        <f t="shared" si="220"/>
        <v>0</v>
      </c>
      <c r="U1277">
        <f t="shared" si="221"/>
        <v>0</v>
      </c>
      <c r="V1277">
        <f t="shared" si="222"/>
        <v>0</v>
      </c>
      <c r="W1277">
        <f t="shared" si="223"/>
        <v>0</v>
      </c>
      <c r="X1277">
        <f t="shared" si="224"/>
        <v>0</v>
      </c>
      <c r="Y1277">
        <f t="shared" si="225"/>
        <v>0</v>
      </c>
      <c r="Z1277">
        <f t="shared" si="226"/>
        <v>0</v>
      </c>
      <c r="AA1277" t="str">
        <f>INDEX('Priority activities'!$D$5:$D$86,MATCH('Database for analysis'!C1277,'Priority activities'!$C$5:$C$86,0))</f>
        <v>n/a</v>
      </c>
    </row>
    <row r="1278" spans="2:27" ht="16.5" thickTop="1" thickBot="1" x14ac:dyDescent="0.3">
      <c r="B1278" t="s">
        <v>195</v>
      </c>
      <c r="C1278" s="22" t="str">
        <f>'Costing inputs'!$C$282</f>
        <v>SDA 10 - Equiping Health Facilities</v>
      </c>
      <c r="D1278" s="22" t="str">
        <f>'Costing inputs'!$U$282</f>
        <v>Health facilities (service delivery points)</v>
      </c>
      <c r="E1278" s="22">
        <f>'Regional splits'!$N$14</f>
        <v>0</v>
      </c>
      <c r="F1278">
        <v>0</v>
      </c>
      <c r="G1278">
        <v>0</v>
      </c>
      <c r="H1278">
        <v>0</v>
      </c>
      <c r="I1278">
        <v>0</v>
      </c>
      <c r="J1278">
        <v>0</v>
      </c>
      <c r="K1278">
        <v>0</v>
      </c>
      <c r="L1278">
        <v>0</v>
      </c>
      <c r="M1278">
        <v>0</v>
      </c>
      <c r="N1278">
        <v>0</v>
      </c>
      <c r="O1278">
        <v>0</v>
      </c>
      <c r="P1278" s="5">
        <f t="shared" si="229"/>
        <v>0</v>
      </c>
      <c r="Q1278">
        <f t="shared" si="217"/>
        <v>0</v>
      </c>
      <c r="R1278">
        <f t="shared" si="218"/>
        <v>0</v>
      </c>
      <c r="S1278">
        <f t="shared" si="219"/>
        <v>0</v>
      </c>
      <c r="T1278">
        <f t="shared" si="220"/>
        <v>0</v>
      </c>
      <c r="U1278">
        <f t="shared" si="221"/>
        <v>0</v>
      </c>
      <c r="V1278">
        <f t="shared" si="222"/>
        <v>0</v>
      </c>
      <c r="W1278">
        <f t="shared" si="223"/>
        <v>0</v>
      </c>
      <c r="X1278">
        <f t="shared" si="224"/>
        <v>0</v>
      </c>
      <c r="Y1278">
        <f t="shared" si="225"/>
        <v>0</v>
      </c>
      <c r="Z1278">
        <f t="shared" si="226"/>
        <v>0</v>
      </c>
      <c r="AA1278" t="str">
        <f>INDEX('Priority activities'!$D$5:$D$86,MATCH('Database for analysis'!C1278,'Priority activities'!$C$5:$C$86,0))</f>
        <v>n/a</v>
      </c>
    </row>
    <row r="1279" spans="2:27" ht="16.5" thickTop="1" thickBot="1" x14ac:dyDescent="0.3">
      <c r="B1279" t="s">
        <v>195</v>
      </c>
      <c r="C1279" s="22" t="str">
        <f>'Costing inputs'!$C$282</f>
        <v>SDA 10 - Equiping Health Facilities</v>
      </c>
      <c r="D1279" s="22" t="str">
        <f>'Costing inputs'!$U$282</f>
        <v>Health facilities (service delivery points)</v>
      </c>
      <c r="E1279" s="22">
        <f>'Regional splits'!$O$14</f>
        <v>0</v>
      </c>
      <c r="F1279">
        <v>0</v>
      </c>
      <c r="G1279">
        <v>0</v>
      </c>
      <c r="H1279">
        <v>0</v>
      </c>
      <c r="I1279">
        <v>0</v>
      </c>
      <c r="J1279">
        <v>0</v>
      </c>
      <c r="K1279">
        <v>0</v>
      </c>
      <c r="L1279">
        <v>0</v>
      </c>
      <c r="M1279">
        <v>0</v>
      </c>
      <c r="N1279">
        <v>0</v>
      </c>
      <c r="O1279">
        <v>0</v>
      </c>
      <c r="P1279" s="5">
        <f t="shared" si="229"/>
        <v>0</v>
      </c>
      <c r="Q1279">
        <f t="shared" si="217"/>
        <v>0</v>
      </c>
      <c r="R1279">
        <f t="shared" si="218"/>
        <v>0</v>
      </c>
      <c r="S1279">
        <f t="shared" si="219"/>
        <v>0</v>
      </c>
      <c r="T1279">
        <f t="shared" si="220"/>
        <v>0</v>
      </c>
      <c r="U1279">
        <f t="shared" si="221"/>
        <v>0</v>
      </c>
      <c r="V1279">
        <f t="shared" si="222"/>
        <v>0</v>
      </c>
      <c r="W1279">
        <f t="shared" si="223"/>
        <v>0</v>
      </c>
      <c r="X1279">
        <f t="shared" si="224"/>
        <v>0</v>
      </c>
      <c r="Y1279">
        <f t="shared" si="225"/>
        <v>0</v>
      </c>
      <c r="Z1279">
        <f t="shared" si="226"/>
        <v>0</v>
      </c>
      <c r="AA1279" t="str">
        <f>INDEX('Priority activities'!$D$5:$D$86,MATCH('Database for analysis'!C1279,'Priority activities'!$C$5:$C$86,0))</f>
        <v>n/a</v>
      </c>
    </row>
    <row r="1280" spans="2:27" ht="16.5" thickTop="1" thickBot="1" x14ac:dyDescent="0.3">
      <c r="B1280" t="s">
        <v>195</v>
      </c>
      <c r="C1280" s="22" t="str">
        <f>'Costing inputs'!$C$282</f>
        <v>SDA 10 - Equiping Health Facilities</v>
      </c>
      <c r="D1280" s="22" t="str">
        <f>'Costing inputs'!$U$282</f>
        <v>Health facilities (service delivery points)</v>
      </c>
      <c r="E1280" s="22">
        <f>'Regional splits'!$P$14</f>
        <v>0</v>
      </c>
      <c r="F1280">
        <v>0</v>
      </c>
      <c r="G1280">
        <v>0</v>
      </c>
      <c r="H1280">
        <v>0</v>
      </c>
      <c r="I1280">
        <v>0</v>
      </c>
      <c r="J1280">
        <v>0</v>
      </c>
      <c r="K1280">
        <v>0</v>
      </c>
      <c r="L1280">
        <v>0</v>
      </c>
      <c r="M1280">
        <v>0</v>
      </c>
      <c r="N1280">
        <v>0</v>
      </c>
      <c r="O1280">
        <v>0</v>
      </c>
      <c r="P1280" s="5">
        <f t="shared" si="229"/>
        <v>0</v>
      </c>
      <c r="Q1280">
        <f t="shared" si="217"/>
        <v>0</v>
      </c>
      <c r="R1280">
        <f t="shared" si="218"/>
        <v>0</v>
      </c>
      <c r="S1280">
        <f t="shared" si="219"/>
        <v>0</v>
      </c>
      <c r="T1280">
        <f t="shared" si="220"/>
        <v>0</v>
      </c>
      <c r="U1280">
        <f t="shared" si="221"/>
        <v>0</v>
      </c>
      <c r="V1280">
        <f t="shared" si="222"/>
        <v>0</v>
      </c>
      <c r="W1280">
        <f t="shared" si="223"/>
        <v>0</v>
      </c>
      <c r="X1280">
        <f t="shared" si="224"/>
        <v>0</v>
      </c>
      <c r="Y1280">
        <f t="shared" si="225"/>
        <v>0</v>
      </c>
      <c r="Z1280">
        <f t="shared" si="226"/>
        <v>0</v>
      </c>
      <c r="AA1280" t="str">
        <f>INDEX('Priority activities'!$D$5:$D$86,MATCH('Database for analysis'!C1280,'Priority activities'!$C$5:$C$86,0))</f>
        <v>n/a</v>
      </c>
    </row>
    <row r="1281" spans="2:27" ht="16.5" thickTop="1" thickBot="1" x14ac:dyDescent="0.3">
      <c r="B1281" t="s">
        <v>195</v>
      </c>
      <c r="C1281" s="22" t="str">
        <f>'Costing inputs'!$C$282</f>
        <v>SDA 10 - Equiping Health Facilities</v>
      </c>
      <c r="D1281" s="22" t="str">
        <f>'Costing inputs'!$U$282</f>
        <v>Health facilities (service delivery points)</v>
      </c>
      <c r="E1281" s="22">
        <f>'Regional splits'!$Q$14</f>
        <v>0</v>
      </c>
      <c r="F1281">
        <v>0</v>
      </c>
      <c r="G1281">
        <v>0</v>
      </c>
      <c r="H1281">
        <v>0</v>
      </c>
      <c r="I1281">
        <v>0</v>
      </c>
      <c r="J1281">
        <v>0</v>
      </c>
      <c r="K1281">
        <v>0</v>
      </c>
      <c r="L1281">
        <v>0</v>
      </c>
      <c r="M1281">
        <v>0</v>
      </c>
      <c r="N1281">
        <v>0</v>
      </c>
      <c r="O1281">
        <v>0</v>
      </c>
      <c r="P1281" s="5">
        <f t="shared" si="229"/>
        <v>0</v>
      </c>
      <c r="Q1281">
        <f t="shared" si="217"/>
        <v>0</v>
      </c>
      <c r="R1281">
        <f t="shared" si="218"/>
        <v>0</v>
      </c>
      <c r="S1281">
        <f t="shared" si="219"/>
        <v>0</v>
      </c>
      <c r="T1281">
        <f t="shared" si="220"/>
        <v>0</v>
      </c>
      <c r="U1281">
        <f t="shared" si="221"/>
        <v>0</v>
      </c>
      <c r="V1281">
        <f t="shared" si="222"/>
        <v>0</v>
      </c>
      <c r="W1281">
        <f t="shared" si="223"/>
        <v>0</v>
      </c>
      <c r="X1281">
        <f t="shared" si="224"/>
        <v>0</v>
      </c>
      <c r="Y1281">
        <f t="shared" si="225"/>
        <v>0</v>
      </c>
      <c r="Z1281">
        <f t="shared" si="226"/>
        <v>0</v>
      </c>
      <c r="AA1281" t="str">
        <f>INDEX('Priority activities'!$D$5:$D$86,MATCH('Database for analysis'!C1281,'Priority activities'!$C$5:$C$86,0))</f>
        <v>n/a</v>
      </c>
    </row>
    <row r="1282" spans="2:27" ht="16.5" thickTop="1" thickBot="1" x14ac:dyDescent="0.3">
      <c r="B1282" t="s">
        <v>195</v>
      </c>
      <c r="C1282" s="22" t="str">
        <f>'Costing inputs'!$C$282</f>
        <v>SDA 10 - Equiping Health Facilities</v>
      </c>
      <c r="D1282" s="22" t="str">
        <f>'Costing inputs'!$U$282</f>
        <v>Health facilities (service delivery points)</v>
      </c>
      <c r="E1282" s="22" t="str">
        <f>'Regional splits'!$R$14</f>
        <v>National-level</v>
      </c>
      <c r="F1282">
        <v>0</v>
      </c>
      <c r="G1282">
        <v>0</v>
      </c>
      <c r="H1282">
        <v>0</v>
      </c>
      <c r="I1282">
        <v>0</v>
      </c>
      <c r="J1282">
        <v>0</v>
      </c>
      <c r="K1282">
        <v>0</v>
      </c>
      <c r="L1282">
        <v>0</v>
      </c>
      <c r="M1282">
        <v>0</v>
      </c>
      <c r="N1282">
        <v>0</v>
      </c>
      <c r="O1282">
        <v>0</v>
      </c>
      <c r="P1282" s="5">
        <f t="shared" si="229"/>
        <v>0</v>
      </c>
      <c r="Q1282">
        <f t="shared" si="217"/>
        <v>0</v>
      </c>
      <c r="R1282">
        <f t="shared" si="218"/>
        <v>0</v>
      </c>
      <c r="S1282">
        <f t="shared" si="219"/>
        <v>0</v>
      </c>
      <c r="T1282">
        <f t="shared" si="220"/>
        <v>0</v>
      </c>
      <c r="U1282">
        <f t="shared" si="221"/>
        <v>0</v>
      </c>
      <c r="V1282">
        <f t="shared" si="222"/>
        <v>0</v>
      </c>
      <c r="W1282">
        <f t="shared" si="223"/>
        <v>0</v>
      </c>
      <c r="X1282">
        <f t="shared" si="224"/>
        <v>0</v>
      </c>
      <c r="Y1282">
        <f t="shared" si="225"/>
        <v>0</v>
      </c>
      <c r="Z1282">
        <f t="shared" si="226"/>
        <v>0</v>
      </c>
      <c r="AA1282" t="str">
        <f>INDEX('Priority activities'!$D$5:$D$86,MATCH('Database for analysis'!C1282,'Priority activities'!$C$5:$C$86,0))</f>
        <v>n/a</v>
      </c>
    </row>
    <row r="1283" spans="2:27" ht="16.5" thickTop="1" thickBot="1" x14ac:dyDescent="0.3">
      <c r="B1283" t="s">
        <v>195</v>
      </c>
      <c r="C1283" s="22" t="str">
        <f>'Costing inputs'!$C$284</f>
        <v>Mentorship of CO's and MD's Trained in BTLs (SDA.2.3)</v>
      </c>
      <c r="D1283" s="22" t="str">
        <f>'Costing inputs'!$U$284</f>
        <v>Central level</v>
      </c>
      <c r="E1283" s="22" t="str">
        <f>'Regional splits'!$C$14</f>
        <v>Central</v>
      </c>
      <c r="F1283">
        <f t="array" ref="F1283:O1298">'Costing inputs'!S284*'Costing inputs'!AP284:AY284*TRANSPOSE('Costing inputs'!W284:AL284)</f>
        <v>0</v>
      </c>
      <c r="G1283">
        <v>0</v>
      </c>
      <c r="H1283">
        <v>0</v>
      </c>
      <c r="I1283">
        <v>0</v>
      </c>
      <c r="J1283">
        <v>0</v>
      </c>
      <c r="K1283">
        <v>0</v>
      </c>
      <c r="L1283">
        <v>0</v>
      </c>
      <c r="M1283">
        <v>0</v>
      </c>
      <c r="N1283">
        <v>0</v>
      </c>
      <c r="O1283">
        <v>0</v>
      </c>
      <c r="P1283" s="5">
        <f t="shared" ref="P1283:P1298" si="230">SUMIF(F1283:O1283,"&lt;&gt;#N/A")</f>
        <v>0</v>
      </c>
      <c r="Q1283">
        <f t="shared" si="217"/>
        <v>0</v>
      </c>
      <c r="R1283">
        <f t="shared" si="218"/>
        <v>0</v>
      </c>
      <c r="S1283">
        <f t="shared" si="219"/>
        <v>0</v>
      </c>
      <c r="T1283">
        <f t="shared" si="220"/>
        <v>0</v>
      </c>
      <c r="U1283">
        <f t="shared" si="221"/>
        <v>0</v>
      </c>
      <c r="V1283">
        <f t="shared" si="222"/>
        <v>0</v>
      </c>
      <c r="W1283">
        <f t="shared" si="223"/>
        <v>0</v>
      </c>
      <c r="X1283">
        <f t="shared" si="224"/>
        <v>0</v>
      </c>
      <c r="Y1283">
        <f t="shared" si="225"/>
        <v>0</v>
      </c>
      <c r="Z1283">
        <f t="shared" si="226"/>
        <v>0</v>
      </c>
      <c r="AA1283" t="str">
        <f>INDEX('Priority activities'!$D$5:$D$86,MATCH('Database for analysis'!C1283,'Priority activities'!$C$5:$C$86,0))</f>
        <v>n/a</v>
      </c>
    </row>
    <row r="1284" spans="2:27" ht="16.5" thickTop="1" thickBot="1" x14ac:dyDescent="0.3">
      <c r="B1284" t="s">
        <v>195</v>
      </c>
      <c r="C1284" s="22" t="str">
        <f>'Costing inputs'!$C$284</f>
        <v>Mentorship of CO's and MD's Trained in BTLs (SDA.2.3)</v>
      </c>
      <c r="D1284" s="22" t="str">
        <f>'Costing inputs'!$U$284</f>
        <v>Central level</v>
      </c>
      <c r="E1284" s="22" t="str">
        <f>'Regional splits'!$D$14</f>
        <v>Copperbelt</v>
      </c>
      <c r="F1284">
        <v>0</v>
      </c>
      <c r="G1284">
        <v>0</v>
      </c>
      <c r="H1284">
        <v>0</v>
      </c>
      <c r="I1284">
        <v>0</v>
      </c>
      <c r="J1284">
        <v>0</v>
      </c>
      <c r="K1284">
        <v>0</v>
      </c>
      <c r="L1284">
        <v>0</v>
      </c>
      <c r="M1284">
        <v>0</v>
      </c>
      <c r="N1284">
        <v>0</v>
      </c>
      <c r="O1284">
        <v>0</v>
      </c>
      <c r="P1284" s="5">
        <f t="shared" si="230"/>
        <v>0</v>
      </c>
      <c r="Q1284">
        <f t="shared" ref="Q1284:Q1299" si="231">IF(ISNA(F1284),0,F1284)</f>
        <v>0</v>
      </c>
      <c r="R1284">
        <f t="shared" ref="R1284:R1298" si="232">IF(ISNA(G1284),0,G1284)</f>
        <v>0</v>
      </c>
      <c r="S1284">
        <f t="shared" ref="S1284:S1298" si="233">IF(ISNA(H1284),0,H1284)</f>
        <v>0</v>
      </c>
      <c r="T1284">
        <f t="shared" ref="T1284:T1298" si="234">IF(ISNA(I1284),0,I1284)</f>
        <v>0</v>
      </c>
      <c r="U1284">
        <f t="shared" ref="U1284:U1298" si="235">IF(ISNA(J1284),0,J1284)</f>
        <v>0</v>
      </c>
      <c r="V1284">
        <f t="shared" ref="V1284:V1298" si="236">IF(ISNA(K1284),0,K1284)</f>
        <v>0</v>
      </c>
      <c r="W1284">
        <f t="shared" ref="W1284:W1298" si="237">IF(ISNA(L1284),0,L1284)</f>
        <v>0</v>
      </c>
      <c r="X1284">
        <f t="shared" ref="X1284:X1298" si="238">IF(ISNA(M1284),0,M1284)</f>
        <v>0</v>
      </c>
      <c r="Y1284">
        <f t="shared" ref="Y1284:Y1298" si="239">IF(ISNA(N1284),0,N1284)</f>
        <v>0</v>
      </c>
      <c r="Z1284">
        <f t="shared" ref="Z1284:Z1298" si="240">IF(ISNA(O1284),0,O1284)</f>
        <v>0</v>
      </c>
      <c r="AA1284" t="str">
        <f>INDEX('Priority activities'!$D$5:$D$86,MATCH('Database for analysis'!C1284,'Priority activities'!$C$5:$C$86,0))</f>
        <v>n/a</v>
      </c>
    </row>
    <row r="1285" spans="2:27" ht="16.5" thickTop="1" thickBot="1" x14ac:dyDescent="0.3">
      <c r="B1285" t="s">
        <v>195</v>
      </c>
      <c r="C1285" s="22" t="str">
        <f>'Costing inputs'!$C$284</f>
        <v>Mentorship of CO's and MD's Trained in BTLs (SDA.2.3)</v>
      </c>
      <c r="D1285" s="22" t="str">
        <f>'Costing inputs'!$U$284</f>
        <v>Central level</v>
      </c>
      <c r="E1285" s="22" t="str">
        <f>'Regional splits'!$E$14</f>
        <v>Eastern</v>
      </c>
      <c r="F1285">
        <v>0</v>
      </c>
      <c r="G1285">
        <v>0</v>
      </c>
      <c r="H1285">
        <v>0</v>
      </c>
      <c r="I1285">
        <v>0</v>
      </c>
      <c r="J1285">
        <v>0</v>
      </c>
      <c r="K1285">
        <v>0</v>
      </c>
      <c r="L1285">
        <v>0</v>
      </c>
      <c r="M1285">
        <v>0</v>
      </c>
      <c r="N1285">
        <v>0</v>
      </c>
      <c r="O1285">
        <v>0</v>
      </c>
      <c r="P1285" s="5">
        <f t="shared" si="230"/>
        <v>0</v>
      </c>
      <c r="Q1285">
        <f t="shared" si="231"/>
        <v>0</v>
      </c>
      <c r="R1285">
        <f t="shared" si="232"/>
        <v>0</v>
      </c>
      <c r="S1285">
        <f t="shared" si="233"/>
        <v>0</v>
      </c>
      <c r="T1285">
        <f t="shared" si="234"/>
        <v>0</v>
      </c>
      <c r="U1285">
        <f t="shared" si="235"/>
        <v>0</v>
      </c>
      <c r="V1285">
        <f t="shared" si="236"/>
        <v>0</v>
      </c>
      <c r="W1285">
        <f t="shared" si="237"/>
        <v>0</v>
      </c>
      <c r="X1285">
        <f t="shared" si="238"/>
        <v>0</v>
      </c>
      <c r="Y1285">
        <f t="shared" si="239"/>
        <v>0</v>
      </c>
      <c r="Z1285">
        <f t="shared" si="240"/>
        <v>0</v>
      </c>
      <c r="AA1285" t="str">
        <f>INDEX('Priority activities'!$D$5:$D$86,MATCH('Database for analysis'!C1285,'Priority activities'!$C$5:$C$86,0))</f>
        <v>n/a</v>
      </c>
    </row>
    <row r="1286" spans="2:27" ht="16.5" thickTop="1" thickBot="1" x14ac:dyDescent="0.3">
      <c r="B1286" t="s">
        <v>195</v>
      </c>
      <c r="C1286" s="22" t="str">
        <f>'Costing inputs'!$C$284</f>
        <v>Mentorship of CO's and MD's Trained in BTLs (SDA.2.3)</v>
      </c>
      <c r="D1286" s="22" t="str">
        <f>'Costing inputs'!$U$284</f>
        <v>Central level</v>
      </c>
      <c r="E1286" s="22" t="str">
        <f>'Regional splits'!$F$14</f>
        <v>Luapula</v>
      </c>
      <c r="F1286">
        <v>0</v>
      </c>
      <c r="G1286">
        <v>0</v>
      </c>
      <c r="H1286">
        <v>0</v>
      </c>
      <c r="I1286">
        <v>0</v>
      </c>
      <c r="J1286">
        <v>0</v>
      </c>
      <c r="K1286">
        <v>0</v>
      </c>
      <c r="L1286">
        <v>0</v>
      </c>
      <c r="M1286">
        <v>0</v>
      </c>
      <c r="N1286">
        <v>0</v>
      </c>
      <c r="O1286">
        <v>0</v>
      </c>
      <c r="P1286" s="5">
        <f t="shared" si="230"/>
        <v>0</v>
      </c>
      <c r="Q1286">
        <f t="shared" si="231"/>
        <v>0</v>
      </c>
      <c r="R1286">
        <f t="shared" si="232"/>
        <v>0</v>
      </c>
      <c r="S1286">
        <f t="shared" si="233"/>
        <v>0</v>
      </c>
      <c r="T1286">
        <f t="shared" si="234"/>
        <v>0</v>
      </c>
      <c r="U1286">
        <f t="shared" si="235"/>
        <v>0</v>
      </c>
      <c r="V1286">
        <f t="shared" si="236"/>
        <v>0</v>
      </c>
      <c r="W1286">
        <f t="shared" si="237"/>
        <v>0</v>
      </c>
      <c r="X1286">
        <f t="shared" si="238"/>
        <v>0</v>
      </c>
      <c r="Y1286">
        <f t="shared" si="239"/>
        <v>0</v>
      </c>
      <c r="Z1286">
        <f t="shared" si="240"/>
        <v>0</v>
      </c>
      <c r="AA1286" t="str">
        <f>INDEX('Priority activities'!$D$5:$D$86,MATCH('Database for analysis'!C1286,'Priority activities'!$C$5:$C$86,0))</f>
        <v>n/a</v>
      </c>
    </row>
    <row r="1287" spans="2:27" ht="16.5" thickTop="1" thickBot="1" x14ac:dyDescent="0.3">
      <c r="B1287" t="s">
        <v>195</v>
      </c>
      <c r="C1287" s="22" t="str">
        <f>'Costing inputs'!$C$284</f>
        <v>Mentorship of CO's and MD's Trained in BTLs (SDA.2.3)</v>
      </c>
      <c r="D1287" s="22" t="str">
        <f>'Costing inputs'!$U$284</f>
        <v>Central level</v>
      </c>
      <c r="E1287" s="22" t="str">
        <f>'Regional splits'!$G$14</f>
        <v>Lusaka</v>
      </c>
      <c r="F1287">
        <v>0</v>
      </c>
      <c r="G1287">
        <v>0</v>
      </c>
      <c r="H1287">
        <v>0</v>
      </c>
      <c r="I1287">
        <v>0</v>
      </c>
      <c r="J1287">
        <v>0</v>
      </c>
      <c r="K1287">
        <v>0</v>
      </c>
      <c r="L1287">
        <v>0</v>
      </c>
      <c r="M1287">
        <v>0</v>
      </c>
      <c r="N1287">
        <v>0</v>
      </c>
      <c r="O1287">
        <v>0</v>
      </c>
      <c r="P1287" s="5">
        <f t="shared" si="230"/>
        <v>0</v>
      </c>
      <c r="Q1287">
        <f t="shared" si="231"/>
        <v>0</v>
      </c>
      <c r="R1287">
        <f t="shared" si="232"/>
        <v>0</v>
      </c>
      <c r="S1287">
        <f t="shared" si="233"/>
        <v>0</v>
      </c>
      <c r="T1287">
        <f t="shared" si="234"/>
        <v>0</v>
      </c>
      <c r="U1287">
        <f t="shared" si="235"/>
        <v>0</v>
      </c>
      <c r="V1287">
        <f t="shared" si="236"/>
        <v>0</v>
      </c>
      <c r="W1287">
        <f t="shared" si="237"/>
        <v>0</v>
      </c>
      <c r="X1287">
        <f t="shared" si="238"/>
        <v>0</v>
      </c>
      <c r="Y1287">
        <f t="shared" si="239"/>
        <v>0</v>
      </c>
      <c r="Z1287">
        <f t="shared" si="240"/>
        <v>0</v>
      </c>
      <c r="AA1287" t="str">
        <f>INDEX('Priority activities'!$D$5:$D$86,MATCH('Database for analysis'!C1287,'Priority activities'!$C$5:$C$86,0))</f>
        <v>n/a</v>
      </c>
    </row>
    <row r="1288" spans="2:27" ht="16.5" thickTop="1" thickBot="1" x14ac:dyDescent="0.3">
      <c r="B1288" t="s">
        <v>195</v>
      </c>
      <c r="C1288" s="22" t="str">
        <f>'Costing inputs'!$C$284</f>
        <v>Mentorship of CO's and MD's Trained in BTLs (SDA.2.3)</v>
      </c>
      <c r="D1288" s="22" t="str">
        <f>'Costing inputs'!$U$284</f>
        <v>Central level</v>
      </c>
      <c r="E1288" s="22" t="str">
        <f>'Regional splits'!$H$14</f>
        <v>Muchinga</v>
      </c>
      <c r="F1288">
        <v>0</v>
      </c>
      <c r="G1288">
        <v>0</v>
      </c>
      <c r="H1288">
        <v>0</v>
      </c>
      <c r="I1288">
        <v>0</v>
      </c>
      <c r="J1288">
        <v>0</v>
      </c>
      <c r="K1288">
        <v>0</v>
      </c>
      <c r="L1288">
        <v>0</v>
      </c>
      <c r="M1288">
        <v>0</v>
      </c>
      <c r="N1288">
        <v>0</v>
      </c>
      <c r="O1288">
        <v>0</v>
      </c>
      <c r="P1288" s="5">
        <f t="shared" si="230"/>
        <v>0</v>
      </c>
      <c r="Q1288">
        <f t="shared" si="231"/>
        <v>0</v>
      </c>
      <c r="R1288">
        <f t="shared" si="232"/>
        <v>0</v>
      </c>
      <c r="S1288">
        <f t="shared" si="233"/>
        <v>0</v>
      </c>
      <c r="T1288">
        <f t="shared" si="234"/>
        <v>0</v>
      </c>
      <c r="U1288">
        <f t="shared" si="235"/>
        <v>0</v>
      </c>
      <c r="V1288">
        <f t="shared" si="236"/>
        <v>0</v>
      </c>
      <c r="W1288">
        <f t="shared" si="237"/>
        <v>0</v>
      </c>
      <c r="X1288">
        <f t="shared" si="238"/>
        <v>0</v>
      </c>
      <c r="Y1288">
        <f t="shared" si="239"/>
        <v>0</v>
      </c>
      <c r="Z1288">
        <f t="shared" si="240"/>
        <v>0</v>
      </c>
      <c r="AA1288" t="str">
        <f>INDEX('Priority activities'!$D$5:$D$86,MATCH('Database for analysis'!C1288,'Priority activities'!$C$5:$C$86,0))</f>
        <v>n/a</v>
      </c>
    </row>
    <row r="1289" spans="2:27" ht="16.5" thickTop="1" thickBot="1" x14ac:dyDescent="0.3">
      <c r="B1289" t="s">
        <v>195</v>
      </c>
      <c r="C1289" s="22" t="str">
        <f>'Costing inputs'!$C$284</f>
        <v>Mentorship of CO's and MD's Trained in BTLs (SDA.2.3)</v>
      </c>
      <c r="D1289" s="22" t="str">
        <f>'Costing inputs'!$U$284</f>
        <v>Central level</v>
      </c>
      <c r="E1289" s="22" t="str">
        <f>'Regional splits'!$I$14</f>
        <v>Northern</v>
      </c>
      <c r="F1289">
        <v>0</v>
      </c>
      <c r="G1289">
        <v>0</v>
      </c>
      <c r="H1289">
        <v>0</v>
      </c>
      <c r="I1289">
        <v>0</v>
      </c>
      <c r="J1289">
        <v>0</v>
      </c>
      <c r="K1289">
        <v>0</v>
      </c>
      <c r="L1289">
        <v>0</v>
      </c>
      <c r="M1289">
        <v>0</v>
      </c>
      <c r="N1289">
        <v>0</v>
      </c>
      <c r="O1289">
        <v>0</v>
      </c>
      <c r="P1289" s="5">
        <f t="shared" si="230"/>
        <v>0</v>
      </c>
      <c r="Q1289">
        <f t="shared" si="231"/>
        <v>0</v>
      </c>
      <c r="R1289">
        <f t="shared" si="232"/>
        <v>0</v>
      </c>
      <c r="S1289">
        <f t="shared" si="233"/>
        <v>0</v>
      </c>
      <c r="T1289">
        <f t="shared" si="234"/>
        <v>0</v>
      </c>
      <c r="U1289">
        <f t="shared" si="235"/>
        <v>0</v>
      </c>
      <c r="V1289">
        <f t="shared" si="236"/>
        <v>0</v>
      </c>
      <c r="W1289">
        <f t="shared" si="237"/>
        <v>0</v>
      </c>
      <c r="X1289">
        <f t="shared" si="238"/>
        <v>0</v>
      </c>
      <c r="Y1289">
        <f t="shared" si="239"/>
        <v>0</v>
      </c>
      <c r="Z1289">
        <f t="shared" si="240"/>
        <v>0</v>
      </c>
      <c r="AA1289" t="str">
        <f>INDEX('Priority activities'!$D$5:$D$86,MATCH('Database for analysis'!C1289,'Priority activities'!$C$5:$C$86,0))</f>
        <v>n/a</v>
      </c>
    </row>
    <row r="1290" spans="2:27" ht="16.5" thickTop="1" thickBot="1" x14ac:dyDescent="0.3">
      <c r="B1290" t="s">
        <v>195</v>
      </c>
      <c r="C1290" s="22" t="str">
        <f>'Costing inputs'!$C$284</f>
        <v>Mentorship of CO's and MD's Trained in BTLs (SDA.2.3)</v>
      </c>
      <c r="D1290" s="22" t="str">
        <f>'Costing inputs'!$U$284</f>
        <v>Central level</v>
      </c>
      <c r="E1290" s="22" t="str">
        <f>'Regional splits'!$J$14</f>
        <v>North Western</v>
      </c>
      <c r="F1290">
        <v>0</v>
      </c>
      <c r="G1290">
        <v>0</v>
      </c>
      <c r="H1290">
        <v>0</v>
      </c>
      <c r="I1290">
        <v>0</v>
      </c>
      <c r="J1290">
        <v>0</v>
      </c>
      <c r="K1290">
        <v>0</v>
      </c>
      <c r="L1290">
        <v>0</v>
      </c>
      <c r="M1290">
        <v>0</v>
      </c>
      <c r="N1290">
        <v>0</v>
      </c>
      <c r="O1290">
        <v>0</v>
      </c>
      <c r="P1290" s="5">
        <f t="shared" si="230"/>
        <v>0</v>
      </c>
      <c r="Q1290">
        <f t="shared" si="231"/>
        <v>0</v>
      </c>
      <c r="R1290">
        <f t="shared" si="232"/>
        <v>0</v>
      </c>
      <c r="S1290">
        <f t="shared" si="233"/>
        <v>0</v>
      </c>
      <c r="T1290">
        <f t="shared" si="234"/>
        <v>0</v>
      </c>
      <c r="U1290">
        <f t="shared" si="235"/>
        <v>0</v>
      </c>
      <c r="V1290">
        <f t="shared" si="236"/>
        <v>0</v>
      </c>
      <c r="W1290">
        <f t="shared" si="237"/>
        <v>0</v>
      </c>
      <c r="X1290">
        <f t="shared" si="238"/>
        <v>0</v>
      </c>
      <c r="Y1290">
        <f t="shared" si="239"/>
        <v>0</v>
      </c>
      <c r="Z1290">
        <f t="shared" si="240"/>
        <v>0</v>
      </c>
      <c r="AA1290" t="str">
        <f>INDEX('Priority activities'!$D$5:$D$86,MATCH('Database for analysis'!C1290,'Priority activities'!$C$5:$C$86,0))</f>
        <v>n/a</v>
      </c>
    </row>
    <row r="1291" spans="2:27" ht="16.5" thickTop="1" thickBot="1" x14ac:dyDescent="0.3">
      <c r="B1291" t="s">
        <v>195</v>
      </c>
      <c r="C1291" s="22" t="str">
        <f>'Costing inputs'!$C$284</f>
        <v>Mentorship of CO's and MD's Trained in BTLs (SDA.2.3)</v>
      </c>
      <c r="D1291" s="22" t="str">
        <f>'Costing inputs'!$U$284</f>
        <v>Central level</v>
      </c>
      <c r="E1291" s="22" t="str">
        <f>'Regional splits'!$K$14</f>
        <v>Southern</v>
      </c>
      <c r="F1291">
        <v>0</v>
      </c>
      <c r="G1291">
        <v>0</v>
      </c>
      <c r="H1291">
        <v>0</v>
      </c>
      <c r="I1291">
        <v>0</v>
      </c>
      <c r="J1291">
        <v>0</v>
      </c>
      <c r="K1291">
        <v>0</v>
      </c>
      <c r="L1291">
        <v>0</v>
      </c>
      <c r="M1291">
        <v>0</v>
      </c>
      <c r="N1291">
        <v>0</v>
      </c>
      <c r="O1291">
        <v>0</v>
      </c>
      <c r="P1291" s="5">
        <f t="shared" si="230"/>
        <v>0</v>
      </c>
      <c r="Q1291">
        <f t="shared" si="231"/>
        <v>0</v>
      </c>
      <c r="R1291">
        <f t="shared" si="232"/>
        <v>0</v>
      </c>
      <c r="S1291">
        <f t="shared" si="233"/>
        <v>0</v>
      </c>
      <c r="T1291">
        <f t="shared" si="234"/>
        <v>0</v>
      </c>
      <c r="U1291">
        <f t="shared" si="235"/>
        <v>0</v>
      </c>
      <c r="V1291">
        <f t="shared" si="236"/>
        <v>0</v>
      </c>
      <c r="W1291">
        <f t="shared" si="237"/>
        <v>0</v>
      </c>
      <c r="X1291">
        <f t="shared" si="238"/>
        <v>0</v>
      </c>
      <c r="Y1291">
        <f t="shared" si="239"/>
        <v>0</v>
      </c>
      <c r="Z1291">
        <f t="shared" si="240"/>
        <v>0</v>
      </c>
      <c r="AA1291" t="str">
        <f>INDEX('Priority activities'!$D$5:$D$86,MATCH('Database for analysis'!C1291,'Priority activities'!$C$5:$C$86,0))</f>
        <v>n/a</v>
      </c>
    </row>
    <row r="1292" spans="2:27" ht="16.5" thickTop="1" thickBot="1" x14ac:dyDescent="0.3">
      <c r="B1292" t="s">
        <v>195</v>
      </c>
      <c r="C1292" s="22" t="str">
        <f>'Costing inputs'!$C$284</f>
        <v>Mentorship of CO's and MD's Trained in BTLs (SDA.2.3)</v>
      </c>
      <c r="D1292" s="22" t="str">
        <f>'Costing inputs'!$U$284</f>
        <v>Central level</v>
      </c>
      <c r="E1292" s="22" t="str">
        <f>'Regional splits'!$L$14</f>
        <v>Western</v>
      </c>
      <c r="F1292">
        <v>0</v>
      </c>
      <c r="G1292">
        <v>0</v>
      </c>
      <c r="H1292">
        <v>0</v>
      </c>
      <c r="I1292">
        <v>0</v>
      </c>
      <c r="J1292">
        <v>0</v>
      </c>
      <c r="K1292">
        <v>0</v>
      </c>
      <c r="L1292">
        <v>0</v>
      </c>
      <c r="M1292">
        <v>0</v>
      </c>
      <c r="N1292">
        <v>0</v>
      </c>
      <c r="O1292">
        <v>0</v>
      </c>
      <c r="P1292" s="5">
        <f t="shared" si="230"/>
        <v>0</v>
      </c>
      <c r="Q1292">
        <f t="shared" si="231"/>
        <v>0</v>
      </c>
      <c r="R1292">
        <f t="shared" si="232"/>
        <v>0</v>
      </c>
      <c r="S1292">
        <f t="shared" si="233"/>
        <v>0</v>
      </c>
      <c r="T1292">
        <f t="shared" si="234"/>
        <v>0</v>
      </c>
      <c r="U1292">
        <f t="shared" si="235"/>
        <v>0</v>
      </c>
      <c r="V1292">
        <f t="shared" si="236"/>
        <v>0</v>
      </c>
      <c r="W1292">
        <f t="shared" si="237"/>
        <v>0</v>
      </c>
      <c r="X1292">
        <f t="shared" si="238"/>
        <v>0</v>
      </c>
      <c r="Y1292">
        <f t="shared" si="239"/>
        <v>0</v>
      </c>
      <c r="Z1292">
        <f t="shared" si="240"/>
        <v>0</v>
      </c>
      <c r="AA1292" t="str">
        <f>INDEX('Priority activities'!$D$5:$D$86,MATCH('Database for analysis'!C1292,'Priority activities'!$C$5:$C$86,0))</f>
        <v>n/a</v>
      </c>
    </row>
    <row r="1293" spans="2:27" ht="16.5" thickTop="1" thickBot="1" x14ac:dyDescent="0.3">
      <c r="B1293" t="s">
        <v>195</v>
      </c>
      <c r="C1293" s="22" t="str">
        <f>'Costing inputs'!$C$284</f>
        <v>Mentorship of CO's and MD's Trained in BTLs (SDA.2.3)</v>
      </c>
      <c r="D1293" s="22" t="str">
        <f>'Costing inputs'!$U$284</f>
        <v>Central level</v>
      </c>
      <c r="E1293" s="22">
        <f>'Regional splits'!$M$14</f>
        <v>0</v>
      </c>
      <c r="F1293">
        <v>0</v>
      </c>
      <c r="G1293">
        <v>0</v>
      </c>
      <c r="H1293">
        <v>0</v>
      </c>
      <c r="I1293">
        <v>0</v>
      </c>
      <c r="J1293">
        <v>0</v>
      </c>
      <c r="K1293">
        <v>0</v>
      </c>
      <c r="L1293">
        <v>0</v>
      </c>
      <c r="M1293">
        <v>0</v>
      </c>
      <c r="N1293">
        <v>0</v>
      </c>
      <c r="O1293">
        <v>0</v>
      </c>
      <c r="P1293" s="5">
        <f t="shared" si="230"/>
        <v>0</v>
      </c>
      <c r="Q1293">
        <f t="shared" si="231"/>
        <v>0</v>
      </c>
      <c r="R1293">
        <f t="shared" si="232"/>
        <v>0</v>
      </c>
      <c r="S1293">
        <f t="shared" si="233"/>
        <v>0</v>
      </c>
      <c r="T1293">
        <f t="shared" si="234"/>
        <v>0</v>
      </c>
      <c r="U1293">
        <f t="shared" si="235"/>
        <v>0</v>
      </c>
      <c r="V1293">
        <f t="shared" si="236"/>
        <v>0</v>
      </c>
      <c r="W1293">
        <f t="shared" si="237"/>
        <v>0</v>
      </c>
      <c r="X1293">
        <f t="shared" si="238"/>
        <v>0</v>
      </c>
      <c r="Y1293">
        <f t="shared" si="239"/>
        <v>0</v>
      </c>
      <c r="Z1293">
        <f t="shared" si="240"/>
        <v>0</v>
      </c>
      <c r="AA1293" t="str">
        <f>INDEX('Priority activities'!$D$5:$D$86,MATCH('Database for analysis'!C1293,'Priority activities'!$C$5:$C$86,0))</f>
        <v>n/a</v>
      </c>
    </row>
    <row r="1294" spans="2:27" ht="16.5" thickTop="1" thickBot="1" x14ac:dyDescent="0.3">
      <c r="B1294" t="s">
        <v>195</v>
      </c>
      <c r="C1294" s="22" t="str">
        <f>'Costing inputs'!$C$284</f>
        <v>Mentorship of CO's and MD's Trained in BTLs (SDA.2.3)</v>
      </c>
      <c r="D1294" s="22" t="str">
        <f>'Costing inputs'!$U$284</f>
        <v>Central level</v>
      </c>
      <c r="E1294" s="22">
        <f>'Regional splits'!$N$14</f>
        <v>0</v>
      </c>
      <c r="F1294">
        <v>0</v>
      </c>
      <c r="G1294">
        <v>0</v>
      </c>
      <c r="H1294">
        <v>0</v>
      </c>
      <c r="I1294">
        <v>0</v>
      </c>
      <c r="J1294">
        <v>0</v>
      </c>
      <c r="K1294">
        <v>0</v>
      </c>
      <c r="L1294">
        <v>0</v>
      </c>
      <c r="M1294">
        <v>0</v>
      </c>
      <c r="N1294">
        <v>0</v>
      </c>
      <c r="O1294">
        <v>0</v>
      </c>
      <c r="P1294" s="5">
        <f t="shared" si="230"/>
        <v>0</v>
      </c>
      <c r="Q1294">
        <f t="shared" si="231"/>
        <v>0</v>
      </c>
      <c r="R1294">
        <f t="shared" si="232"/>
        <v>0</v>
      </c>
      <c r="S1294">
        <f t="shared" si="233"/>
        <v>0</v>
      </c>
      <c r="T1294">
        <f t="shared" si="234"/>
        <v>0</v>
      </c>
      <c r="U1294">
        <f t="shared" si="235"/>
        <v>0</v>
      </c>
      <c r="V1294">
        <f t="shared" si="236"/>
        <v>0</v>
      </c>
      <c r="W1294">
        <f t="shared" si="237"/>
        <v>0</v>
      </c>
      <c r="X1294">
        <f t="shared" si="238"/>
        <v>0</v>
      </c>
      <c r="Y1294">
        <f t="shared" si="239"/>
        <v>0</v>
      </c>
      <c r="Z1294">
        <f t="shared" si="240"/>
        <v>0</v>
      </c>
      <c r="AA1294" t="str">
        <f>INDEX('Priority activities'!$D$5:$D$86,MATCH('Database for analysis'!C1294,'Priority activities'!$C$5:$C$86,0))</f>
        <v>n/a</v>
      </c>
    </row>
    <row r="1295" spans="2:27" ht="16.5" thickTop="1" thickBot="1" x14ac:dyDescent="0.3">
      <c r="B1295" t="s">
        <v>195</v>
      </c>
      <c r="C1295" s="22" t="str">
        <f>'Costing inputs'!$C$284</f>
        <v>Mentorship of CO's and MD's Trained in BTLs (SDA.2.3)</v>
      </c>
      <c r="D1295" s="22" t="str">
        <f>'Costing inputs'!$U$284</f>
        <v>Central level</v>
      </c>
      <c r="E1295" s="22">
        <f>'Regional splits'!$O$14</f>
        <v>0</v>
      </c>
      <c r="F1295">
        <v>0</v>
      </c>
      <c r="G1295">
        <v>0</v>
      </c>
      <c r="H1295">
        <v>0</v>
      </c>
      <c r="I1295">
        <v>0</v>
      </c>
      <c r="J1295">
        <v>0</v>
      </c>
      <c r="K1295">
        <v>0</v>
      </c>
      <c r="L1295">
        <v>0</v>
      </c>
      <c r="M1295">
        <v>0</v>
      </c>
      <c r="N1295">
        <v>0</v>
      </c>
      <c r="O1295">
        <v>0</v>
      </c>
      <c r="P1295" s="5">
        <f t="shared" si="230"/>
        <v>0</v>
      </c>
      <c r="Q1295">
        <f t="shared" si="231"/>
        <v>0</v>
      </c>
      <c r="R1295">
        <f t="shared" si="232"/>
        <v>0</v>
      </c>
      <c r="S1295">
        <f t="shared" si="233"/>
        <v>0</v>
      </c>
      <c r="T1295">
        <f t="shared" si="234"/>
        <v>0</v>
      </c>
      <c r="U1295">
        <f t="shared" si="235"/>
        <v>0</v>
      </c>
      <c r="V1295">
        <f t="shared" si="236"/>
        <v>0</v>
      </c>
      <c r="W1295">
        <f t="shared" si="237"/>
        <v>0</v>
      </c>
      <c r="X1295">
        <f t="shared" si="238"/>
        <v>0</v>
      </c>
      <c r="Y1295">
        <f t="shared" si="239"/>
        <v>0</v>
      </c>
      <c r="Z1295">
        <f t="shared" si="240"/>
        <v>0</v>
      </c>
      <c r="AA1295" t="str">
        <f>INDEX('Priority activities'!$D$5:$D$86,MATCH('Database for analysis'!C1295,'Priority activities'!$C$5:$C$86,0))</f>
        <v>n/a</v>
      </c>
    </row>
    <row r="1296" spans="2:27" ht="16.5" thickTop="1" thickBot="1" x14ac:dyDescent="0.3">
      <c r="B1296" t="s">
        <v>195</v>
      </c>
      <c r="C1296" s="22" t="str">
        <f>'Costing inputs'!$C$284</f>
        <v>Mentorship of CO's and MD's Trained in BTLs (SDA.2.3)</v>
      </c>
      <c r="D1296" s="22" t="str">
        <f>'Costing inputs'!$U$284</f>
        <v>Central level</v>
      </c>
      <c r="E1296" s="22">
        <f>'Regional splits'!$P$14</f>
        <v>0</v>
      </c>
      <c r="F1296">
        <v>0</v>
      </c>
      <c r="G1296">
        <v>0</v>
      </c>
      <c r="H1296">
        <v>0</v>
      </c>
      <c r="I1296">
        <v>0</v>
      </c>
      <c r="J1296">
        <v>0</v>
      </c>
      <c r="K1296">
        <v>0</v>
      </c>
      <c r="L1296">
        <v>0</v>
      </c>
      <c r="M1296">
        <v>0</v>
      </c>
      <c r="N1296">
        <v>0</v>
      </c>
      <c r="O1296">
        <v>0</v>
      </c>
      <c r="P1296" s="5">
        <f t="shared" si="230"/>
        <v>0</v>
      </c>
      <c r="Q1296">
        <f t="shared" si="231"/>
        <v>0</v>
      </c>
      <c r="R1296">
        <f t="shared" si="232"/>
        <v>0</v>
      </c>
      <c r="S1296">
        <f t="shared" si="233"/>
        <v>0</v>
      </c>
      <c r="T1296">
        <f t="shared" si="234"/>
        <v>0</v>
      </c>
      <c r="U1296">
        <f t="shared" si="235"/>
        <v>0</v>
      </c>
      <c r="V1296">
        <f t="shared" si="236"/>
        <v>0</v>
      </c>
      <c r="W1296">
        <f t="shared" si="237"/>
        <v>0</v>
      </c>
      <c r="X1296">
        <f t="shared" si="238"/>
        <v>0</v>
      </c>
      <c r="Y1296">
        <f t="shared" si="239"/>
        <v>0</v>
      </c>
      <c r="Z1296">
        <f t="shared" si="240"/>
        <v>0</v>
      </c>
      <c r="AA1296" t="str">
        <f>INDEX('Priority activities'!$D$5:$D$86,MATCH('Database for analysis'!C1296,'Priority activities'!$C$5:$C$86,0))</f>
        <v>n/a</v>
      </c>
    </row>
    <row r="1297" spans="2:27" ht="16.5" thickTop="1" thickBot="1" x14ac:dyDescent="0.3">
      <c r="B1297" t="s">
        <v>195</v>
      </c>
      <c r="C1297" s="22" t="str">
        <f>'Costing inputs'!$C$284</f>
        <v>Mentorship of CO's and MD's Trained in BTLs (SDA.2.3)</v>
      </c>
      <c r="D1297" s="22" t="str">
        <f>'Costing inputs'!$U$284</f>
        <v>Central level</v>
      </c>
      <c r="E1297" s="22">
        <f>'Regional splits'!$Q$14</f>
        <v>0</v>
      </c>
      <c r="F1297">
        <v>0</v>
      </c>
      <c r="G1297">
        <v>0</v>
      </c>
      <c r="H1297">
        <v>0</v>
      </c>
      <c r="I1297">
        <v>0</v>
      </c>
      <c r="J1297">
        <v>0</v>
      </c>
      <c r="K1297">
        <v>0</v>
      </c>
      <c r="L1297">
        <v>0</v>
      </c>
      <c r="M1297">
        <v>0</v>
      </c>
      <c r="N1297">
        <v>0</v>
      </c>
      <c r="O1297">
        <v>0</v>
      </c>
      <c r="P1297" s="5">
        <f t="shared" si="230"/>
        <v>0</v>
      </c>
      <c r="Q1297">
        <f t="shared" si="231"/>
        <v>0</v>
      </c>
      <c r="R1297">
        <f t="shared" si="232"/>
        <v>0</v>
      </c>
      <c r="S1297">
        <f t="shared" si="233"/>
        <v>0</v>
      </c>
      <c r="T1297">
        <f t="shared" si="234"/>
        <v>0</v>
      </c>
      <c r="U1297">
        <f t="shared" si="235"/>
        <v>0</v>
      </c>
      <c r="V1297">
        <f t="shared" si="236"/>
        <v>0</v>
      </c>
      <c r="W1297">
        <f t="shared" si="237"/>
        <v>0</v>
      </c>
      <c r="X1297">
        <f t="shared" si="238"/>
        <v>0</v>
      </c>
      <c r="Y1297">
        <f t="shared" si="239"/>
        <v>0</v>
      </c>
      <c r="Z1297">
        <f t="shared" si="240"/>
        <v>0</v>
      </c>
      <c r="AA1297" t="str">
        <f>INDEX('Priority activities'!$D$5:$D$86,MATCH('Database for analysis'!C1297,'Priority activities'!$C$5:$C$86,0))</f>
        <v>n/a</v>
      </c>
    </row>
    <row r="1298" spans="2:27" ht="16.5" thickTop="1" thickBot="1" x14ac:dyDescent="0.3">
      <c r="B1298" t="s">
        <v>195</v>
      </c>
      <c r="C1298" s="22" t="str">
        <f>'Costing inputs'!$C$284</f>
        <v>Mentorship of CO's and MD's Trained in BTLs (SDA.2.3)</v>
      </c>
      <c r="D1298" s="22" t="str">
        <f>'Costing inputs'!$U$284</f>
        <v>Central level</v>
      </c>
      <c r="E1298" s="22" t="str">
        <f>'Regional splits'!$R$14</f>
        <v>National-level</v>
      </c>
      <c r="F1298">
        <v>0</v>
      </c>
      <c r="G1298">
        <v>0</v>
      </c>
      <c r="H1298">
        <v>110664.95999999999</v>
      </c>
      <c r="I1298">
        <v>110664.95999999999</v>
      </c>
      <c r="J1298">
        <v>0</v>
      </c>
      <c r="K1298">
        <v>0</v>
      </c>
      <c r="L1298">
        <v>0</v>
      </c>
      <c r="M1298">
        <v>0</v>
      </c>
      <c r="N1298">
        <v>0</v>
      </c>
      <c r="O1298">
        <v>0</v>
      </c>
      <c r="P1298" s="5">
        <f t="shared" si="230"/>
        <v>221329.91999999998</v>
      </c>
      <c r="Q1298">
        <f t="shared" si="231"/>
        <v>0</v>
      </c>
      <c r="R1298">
        <f t="shared" si="232"/>
        <v>0</v>
      </c>
      <c r="S1298">
        <f t="shared" si="233"/>
        <v>110664.95999999999</v>
      </c>
      <c r="T1298">
        <f t="shared" si="234"/>
        <v>110664.95999999999</v>
      </c>
      <c r="U1298">
        <f t="shared" si="235"/>
        <v>0</v>
      </c>
      <c r="V1298">
        <f t="shared" si="236"/>
        <v>0</v>
      </c>
      <c r="W1298">
        <f t="shared" si="237"/>
        <v>0</v>
      </c>
      <c r="X1298">
        <f t="shared" si="238"/>
        <v>0</v>
      </c>
      <c r="Y1298">
        <f t="shared" si="239"/>
        <v>0</v>
      </c>
      <c r="Z1298">
        <f t="shared" si="240"/>
        <v>0</v>
      </c>
      <c r="AA1298" t="str">
        <f>INDEX('Priority activities'!$D$5:$D$86,MATCH('Database for analysis'!C1298,'Priority activities'!$C$5:$C$86,0))</f>
        <v>n/a</v>
      </c>
    </row>
    <row r="1299" spans="2:27" ht="16.5" thickTop="1" thickBot="1" x14ac:dyDescent="0.3">
      <c r="B1299" t="s">
        <v>147</v>
      </c>
      <c r="C1299" s="22" t="str">
        <f>'Costing inputs'!$C$108</f>
        <v>Champions program - train FP promoters (D.2.1)</v>
      </c>
      <c r="D1299" s="22" t="str">
        <f>'Costing inputs'!$U$108</f>
        <v>Evenly by province/region</v>
      </c>
      <c r="E1299" s="22" t="str">
        <f>'Regional splits'!$C$14</f>
        <v>Central</v>
      </c>
      <c r="F1299">
        <f t="array" ref="F1299:O1314">'Costing inputs'!S108*'Costing inputs'!AP108:AY108*TRANSPOSE('Costing inputs'!W108:AL108)</f>
        <v>0</v>
      </c>
      <c r="G1299">
        <v>10926.288</v>
      </c>
      <c r="H1299">
        <v>10926.288</v>
      </c>
      <c r="I1299">
        <v>10926.288</v>
      </c>
      <c r="J1299">
        <v>0</v>
      </c>
      <c r="K1299">
        <v>0</v>
      </c>
      <c r="L1299">
        <v>0</v>
      </c>
      <c r="M1299">
        <v>0</v>
      </c>
      <c r="N1299">
        <v>0</v>
      </c>
      <c r="O1299">
        <v>0</v>
      </c>
      <c r="P1299" s="5">
        <f t="shared" ref="P1299:P1314" si="241">SUMIF(F1299:O1299,"&lt;&gt;#N/A")</f>
        <v>32778.864000000001</v>
      </c>
      <c r="Q1299">
        <f t="shared" si="231"/>
        <v>0</v>
      </c>
      <c r="R1299">
        <f t="shared" ref="R1299:R1314" si="242">IF(ISNA(G1299),0,G1299)</f>
        <v>10926.288</v>
      </c>
      <c r="S1299">
        <f t="shared" ref="S1299:S1314" si="243">IF(ISNA(H1299),0,H1299)</f>
        <v>10926.288</v>
      </c>
      <c r="T1299">
        <f t="shared" ref="T1299:T1314" si="244">IF(ISNA(I1299),0,I1299)</f>
        <v>10926.288</v>
      </c>
      <c r="U1299">
        <f t="shared" ref="U1299:U1314" si="245">IF(ISNA(J1299),0,J1299)</f>
        <v>0</v>
      </c>
      <c r="V1299">
        <f t="shared" ref="V1299:V1314" si="246">IF(ISNA(K1299),0,K1299)</f>
        <v>0</v>
      </c>
      <c r="W1299">
        <f t="shared" ref="W1299:W1314" si="247">IF(ISNA(L1299),0,L1299)</f>
        <v>0</v>
      </c>
      <c r="X1299">
        <f t="shared" ref="X1299:X1314" si="248">IF(ISNA(M1299),0,M1299)</f>
        <v>0</v>
      </c>
      <c r="Y1299">
        <f t="shared" ref="Y1299:Y1314" si="249">IF(ISNA(N1299),0,N1299)</f>
        <v>0</v>
      </c>
      <c r="Z1299">
        <f t="shared" ref="Z1299:Z1314" si="250">IF(ISNA(O1299),0,O1299)</f>
        <v>0</v>
      </c>
      <c r="AA1299" t="str">
        <f>INDEX('Priority activities'!$D$5:$D$86,MATCH('Database for analysis'!C1299,'Priority activities'!$C$5:$C$86,0))</f>
        <v>n/a</v>
      </c>
    </row>
    <row r="1300" spans="2:27" ht="16.5" thickTop="1" thickBot="1" x14ac:dyDescent="0.3">
      <c r="B1300" t="s">
        <v>147</v>
      </c>
      <c r="C1300" s="22" t="str">
        <f>'Costing inputs'!$C$108</f>
        <v>Champions program - train FP promoters (D.2.1)</v>
      </c>
      <c r="D1300" s="22" t="str">
        <f>'Costing inputs'!$U$108</f>
        <v>Evenly by province/region</v>
      </c>
      <c r="E1300" s="22" t="str">
        <f>'Regional splits'!$D$14</f>
        <v>Copperbelt</v>
      </c>
      <c r="F1300">
        <v>0</v>
      </c>
      <c r="G1300">
        <v>10926.288</v>
      </c>
      <c r="H1300">
        <v>10926.288</v>
      </c>
      <c r="I1300">
        <v>10926.288</v>
      </c>
      <c r="J1300">
        <v>0</v>
      </c>
      <c r="K1300">
        <v>0</v>
      </c>
      <c r="L1300">
        <v>0</v>
      </c>
      <c r="M1300">
        <v>0</v>
      </c>
      <c r="N1300">
        <v>0</v>
      </c>
      <c r="O1300">
        <v>0</v>
      </c>
      <c r="P1300" s="5">
        <f t="shared" si="241"/>
        <v>32778.864000000001</v>
      </c>
      <c r="Q1300">
        <f t="shared" ref="Q1300:Q1314" si="251">IF(ISNA(F1300),0,F1300)</f>
        <v>0</v>
      </c>
      <c r="R1300">
        <f t="shared" si="242"/>
        <v>10926.288</v>
      </c>
      <c r="S1300">
        <f t="shared" si="243"/>
        <v>10926.288</v>
      </c>
      <c r="T1300">
        <f t="shared" si="244"/>
        <v>10926.288</v>
      </c>
      <c r="U1300">
        <f t="shared" si="245"/>
        <v>0</v>
      </c>
      <c r="V1300">
        <f t="shared" si="246"/>
        <v>0</v>
      </c>
      <c r="W1300">
        <f t="shared" si="247"/>
        <v>0</v>
      </c>
      <c r="X1300">
        <f t="shared" si="248"/>
        <v>0</v>
      </c>
      <c r="Y1300">
        <f t="shared" si="249"/>
        <v>0</v>
      </c>
      <c r="Z1300">
        <f t="shared" si="250"/>
        <v>0</v>
      </c>
      <c r="AA1300" t="str">
        <f>INDEX('Priority activities'!$D$5:$D$86,MATCH('Database for analysis'!C1300,'Priority activities'!$C$5:$C$86,0))</f>
        <v>n/a</v>
      </c>
    </row>
    <row r="1301" spans="2:27" ht="16.5" thickTop="1" thickBot="1" x14ac:dyDescent="0.3">
      <c r="B1301" t="s">
        <v>147</v>
      </c>
      <c r="C1301" s="22" t="str">
        <f>'Costing inputs'!$C$108</f>
        <v>Champions program - train FP promoters (D.2.1)</v>
      </c>
      <c r="D1301" s="22" t="str">
        <f>'Costing inputs'!$U$108</f>
        <v>Evenly by province/region</v>
      </c>
      <c r="E1301" s="22" t="str">
        <f>'Regional splits'!$E$14</f>
        <v>Eastern</v>
      </c>
      <c r="F1301">
        <v>0</v>
      </c>
      <c r="G1301">
        <v>10926.288</v>
      </c>
      <c r="H1301">
        <v>10926.288</v>
      </c>
      <c r="I1301">
        <v>10926.288</v>
      </c>
      <c r="J1301">
        <v>0</v>
      </c>
      <c r="K1301">
        <v>0</v>
      </c>
      <c r="L1301">
        <v>0</v>
      </c>
      <c r="M1301">
        <v>0</v>
      </c>
      <c r="N1301">
        <v>0</v>
      </c>
      <c r="O1301">
        <v>0</v>
      </c>
      <c r="P1301" s="5">
        <f t="shared" si="241"/>
        <v>32778.864000000001</v>
      </c>
      <c r="Q1301">
        <f t="shared" si="251"/>
        <v>0</v>
      </c>
      <c r="R1301">
        <f t="shared" si="242"/>
        <v>10926.288</v>
      </c>
      <c r="S1301">
        <f t="shared" si="243"/>
        <v>10926.288</v>
      </c>
      <c r="T1301">
        <f t="shared" si="244"/>
        <v>10926.288</v>
      </c>
      <c r="U1301">
        <f t="shared" si="245"/>
        <v>0</v>
      </c>
      <c r="V1301">
        <f t="shared" si="246"/>
        <v>0</v>
      </c>
      <c r="W1301">
        <f t="shared" si="247"/>
        <v>0</v>
      </c>
      <c r="X1301">
        <f t="shared" si="248"/>
        <v>0</v>
      </c>
      <c r="Y1301">
        <f t="shared" si="249"/>
        <v>0</v>
      </c>
      <c r="Z1301">
        <f t="shared" si="250"/>
        <v>0</v>
      </c>
      <c r="AA1301" t="str">
        <f>INDEX('Priority activities'!$D$5:$D$86,MATCH('Database for analysis'!C1301,'Priority activities'!$C$5:$C$86,0))</f>
        <v>n/a</v>
      </c>
    </row>
    <row r="1302" spans="2:27" ht="16.5" thickTop="1" thickBot="1" x14ac:dyDescent="0.3">
      <c r="B1302" t="s">
        <v>147</v>
      </c>
      <c r="C1302" s="22" t="str">
        <f>'Costing inputs'!$C$108</f>
        <v>Champions program - train FP promoters (D.2.1)</v>
      </c>
      <c r="D1302" s="22" t="str">
        <f>'Costing inputs'!$U$108</f>
        <v>Evenly by province/region</v>
      </c>
      <c r="E1302" s="22" t="str">
        <f>'Regional splits'!$F$14</f>
        <v>Luapula</v>
      </c>
      <c r="F1302">
        <v>0</v>
      </c>
      <c r="G1302">
        <v>10926.288</v>
      </c>
      <c r="H1302">
        <v>10926.288</v>
      </c>
      <c r="I1302">
        <v>10926.288</v>
      </c>
      <c r="J1302">
        <v>0</v>
      </c>
      <c r="K1302">
        <v>0</v>
      </c>
      <c r="L1302">
        <v>0</v>
      </c>
      <c r="M1302">
        <v>0</v>
      </c>
      <c r="N1302">
        <v>0</v>
      </c>
      <c r="O1302">
        <v>0</v>
      </c>
      <c r="P1302" s="5">
        <f t="shared" si="241"/>
        <v>32778.864000000001</v>
      </c>
      <c r="Q1302">
        <f t="shared" si="251"/>
        <v>0</v>
      </c>
      <c r="R1302">
        <f t="shared" si="242"/>
        <v>10926.288</v>
      </c>
      <c r="S1302">
        <f t="shared" si="243"/>
        <v>10926.288</v>
      </c>
      <c r="T1302">
        <f t="shared" si="244"/>
        <v>10926.288</v>
      </c>
      <c r="U1302">
        <f t="shared" si="245"/>
        <v>0</v>
      </c>
      <c r="V1302">
        <f t="shared" si="246"/>
        <v>0</v>
      </c>
      <c r="W1302">
        <f t="shared" si="247"/>
        <v>0</v>
      </c>
      <c r="X1302">
        <f t="shared" si="248"/>
        <v>0</v>
      </c>
      <c r="Y1302">
        <f t="shared" si="249"/>
        <v>0</v>
      </c>
      <c r="Z1302">
        <f t="shared" si="250"/>
        <v>0</v>
      </c>
      <c r="AA1302" t="str">
        <f>INDEX('Priority activities'!$D$5:$D$86,MATCH('Database for analysis'!C1302,'Priority activities'!$C$5:$C$86,0))</f>
        <v>n/a</v>
      </c>
    </row>
    <row r="1303" spans="2:27" ht="16.5" thickTop="1" thickBot="1" x14ac:dyDescent="0.3">
      <c r="B1303" t="s">
        <v>147</v>
      </c>
      <c r="C1303" s="22" t="str">
        <f>'Costing inputs'!$C$108</f>
        <v>Champions program - train FP promoters (D.2.1)</v>
      </c>
      <c r="D1303" s="22" t="str">
        <f>'Costing inputs'!$U$108</f>
        <v>Evenly by province/region</v>
      </c>
      <c r="E1303" s="22" t="str">
        <f>'Regional splits'!$G$14</f>
        <v>Lusaka</v>
      </c>
      <c r="F1303">
        <v>0</v>
      </c>
      <c r="G1303">
        <v>10926.288</v>
      </c>
      <c r="H1303">
        <v>10926.288</v>
      </c>
      <c r="I1303">
        <v>10926.288</v>
      </c>
      <c r="J1303">
        <v>0</v>
      </c>
      <c r="K1303">
        <v>0</v>
      </c>
      <c r="L1303">
        <v>0</v>
      </c>
      <c r="M1303">
        <v>0</v>
      </c>
      <c r="N1303">
        <v>0</v>
      </c>
      <c r="O1303">
        <v>0</v>
      </c>
      <c r="P1303" s="5">
        <f t="shared" si="241"/>
        <v>32778.864000000001</v>
      </c>
      <c r="Q1303">
        <f t="shared" si="251"/>
        <v>0</v>
      </c>
      <c r="R1303">
        <f t="shared" si="242"/>
        <v>10926.288</v>
      </c>
      <c r="S1303">
        <f t="shared" si="243"/>
        <v>10926.288</v>
      </c>
      <c r="T1303">
        <f t="shared" si="244"/>
        <v>10926.288</v>
      </c>
      <c r="U1303">
        <f t="shared" si="245"/>
        <v>0</v>
      </c>
      <c r="V1303">
        <f t="shared" si="246"/>
        <v>0</v>
      </c>
      <c r="W1303">
        <f t="shared" si="247"/>
        <v>0</v>
      </c>
      <c r="X1303">
        <f t="shared" si="248"/>
        <v>0</v>
      </c>
      <c r="Y1303">
        <f t="shared" si="249"/>
        <v>0</v>
      </c>
      <c r="Z1303">
        <f t="shared" si="250"/>
        <v>0</v>
      </c>
      <c r="AA1303" t="str">
        <f>INDEX('Priority activities'!$D$5:$D$86,MATCH('Database for analysis'!C1303,'Priority activities'!$C$5:$C$86,0))</f>
        <v>n/a</v>
      </c>
    </row>
    <row r="1304" spans="2:27" ht="16.5" thickTop="1" thickBot="1" x14ac:dyDescent="0.3">
      <c r="B1304" t="s">
        <v>147</v>
      </c>
      <c r="C1304" s="22" t="str">
        <f>'Costing inputs'!$C$108</f>
        <v>Champions program - train FP promoters (D.2.1)</v>
      </c>
      <c r="D1304" s="22" t="str">
        <f>'Costing inputs'!$U$108</f>
        <v>Evenly by province/region</v>
      </c>
      <c r="E1304" s="22" t="str">
        <f>'Regional splits'!$H$14</f>
        <v>Muchinga</v>
      </c>
      <c r="F1304">
        <v>0</v>
      </c>
      <c r="G1304">
        <v>10926.288</v>
      </c>
      <c r="H1304">
        <v>10926.288</v>
      </c>
      <c r="I1304">
        <v>10926.288</v>
      </c>
      <c r="J1304">
        <v>0</v>
      </c>
      <c r="K1304">
        <v>0</v>
      </c>
      <c r="L1304">
        <v>0</v>
      </c>
      <c r="M1304">
        <v>0</v>
      </c>
      <c r="N1304">
        <v>0</v>
      </c>
      <c r="O1304">
        <v>0</v>
      </c>
      <c r="P1304" s="5">
        <f t="shared" si="241"/>
        <v>32778.864000000001</v>
      </c>
      <c r="Q1304">
        <f t="shared" si="251"/>
        <v>0</v>
      </c>
      <c r="R1304">
        <f t="shared" si="242"/>
        <v>10926.288</v>
      </c>
      <c r="S1304">
        <f t="shared" si="243"/>
        <v>10926.288</v>
      </c>
      <c r="T1304">
        <f t="shared" si="244"/>
        <v>10926.288</v>
      </c>
      <c r="U1304">
        <f t="shared" si="245"/>
        <v>0</v>
      </c>
      <c r="V1304">
        <f t="shared" si="246"/>
        <v>0</v>
      </c>
      <c r="W1304">
        <f t="shared" si="247"/>
        <v>0</v>
      </c>
      <c r="X1304">
        <f t="shared" si="248"/>
        <v>0</v>
      </c>
      <c r="Y1304">
        <f t="shared" si="249"/>
        <v>0</v>
      </c>
      <c r="Z1304">
        <f t="shared" si="250"/>
        <v>0</v>
      </c>
      <c r="AA1304" t="str">
        <f>INDEX('Priority activities'!$D$5:$D$86,MATCH('Database for analysis'!C1304,'Priority activities'!$C$5:$C$86,0))</f>
        <v>n/a</v>
      </c>
    </row>
    <row r="1305" spans="2:27" ht="16.5" thickTop="1" thickBot="1" x14ac:dyDescent="0.3">
      <c r="B1305" t="s">
        <v>147</v>
      </c>
      <c r="C1305" s="22" t="str">
        <f>'Costing inputs'!$C$108</f>
        <v>Champions program - train FP promoters (D.2.1)</v>
      </c>
      <c r="D1305" s="22" t="str">
        <f>'Costing inputs'!$U$108</f>
        <v>Evenly by province/region</v>
      </c>
      <c r="E1305" s="22" t="str">
        <f>'Regional splits'!$I$14</f>
        <v>Northern</v>
      </c>
      <c r="F1305">
        <v>0</v>
      </c>
      <c r="G1305">
        <v>10926.288</v>
      </c>
      <c r="H1305">
        <v>10926.288</v>
      </c>
      <c r="I1305">
        <v>10926.288</v>
      </c>
      <c r="J1305">
        <v>0</v>
      </c>
      <c r="K1305">
        <v>0</v>
      </c>
      <c r="L1305">
        <v>0</v>
      </c>
      <c r="M1305">
        <v>0</v>
      </c>
      <c r="N1305">
        <v>0</v>
      </c>
      <c r="O1305">
        <v>0</v>
      </c>
      <c r="P1305" s="5">
        <f t="shared" si="241"/>
        <v>32778.864000000001</v>
      </c>
      <c r="Q1305">
        <f t="shared" si="251"/>
        <v>0</v>
      </c>
      <c r="R1305">
        <f t="shared" si="242"/>
        <v>10926.288</v>
      </c>
      <c r="S1305">
        <f t="shared" si="243"/>
        <v>10926.288</v>
      </c>
      <c r="T1305">
        <f t="shared" si="244"/>
        <v>10926.288</v>
      </c>
      <c r="U1305">
        <f t="shared" si="245"/>
        <v>0</v>
      </c>
      <c r="V1305">
        <f t="shared" si="246"/>
        <v>0</v>
      </c>
      <c r="W1305">
        <f t="shared" si="247"/>
        <v>0</v>
      </c>
      <c r="X1305">
        <f t="shared" si="248"/>
        <v>0</v>
      </c>
      <c r="Y1305">
        <f t="shared" si="249"/>
        <v>0</v>
      </c>
      <c r="Z1305">
        <f t="shared" si="250"/>
        <v>0</v>
      </c>
      <c r="AA1305" t="str">
        <f>INDEX('Priority activities'!$D$5:$D$86,MATCH('Database for analysis'!C1305,'Priority activities'!$C$5:$C$86,0))</f>
        <v>n/a</v>
      </c>
    </row>
    <row r="1306" spans="2:27" ht="16.5" thickTop="1" thickBot="1" x14ac:dyDescent="0.3">
      <c r="B1306" t="s">
        <v>147</v>
      </c>
      <c r="C1306" s="22" t="str">
        <f>'Costing inputs'!$C$108</f>
        <v>Champions program - train FP promoters (D.2.1)</v>
      </c>
      <c r="D1306" s="22" t="str">
        <f>'Costing inputs'!$U$108</f>
        <v>Evenly by province/region</v>
      </c>
      <c r="E1306" s="22" t="str">
        <f>'Regional splits'!$J$14</f>
        <v>North Western</v>
      </c>
      <c r="F1306">
        <v>0</v>
      </c>
      <c r="G1306">
        <v>10926.288</v>
      </c>
      <c r="H1306">
        <v>10926.288</v>
      </c>
      <c r="I1306">
        <v>10926.288</v>
      </c>
      <c r="J1306">
        <v>0</v>
      </c>
      <c r="K1306">
        <v>0</v>
      </c>
      <c r="L1306">
        <v>0</v>
      </c>
      <c r="M1306">
        <v>0</v>
      </c>
      <c r="N1306">
        <v>0</v>
      </c>
      <c r="O1306">
        <v>0</v>
      </c>
      <c r="P1306" s="5">
        <f t="shared" si="241"/>
        <v>32778.864000000001</v>
      </c>
      <c r="Q1306">
        <f t="shared" si="251"/>
        <v>0</v>
      </c>
      <c r="R1306">
        <f t="shared" si="242"/>
        <v>10926.288</v>
      </c>
      <c r="S1306">
        <f t="shared" si="243"/>
        <v>10926.288</v>
      </c>
      <c r="T1306">
        <f t="shared" si="244"/>
        <v>10926.288</v>
      </c>
      <c r="U1306">
        <f t="shared" si="245"/>
        <v>0</v>
      </c>
      <c r="V1306">
        <f t="shared" si="246"/>
        <v>0</v>
      </c>
      <c r="W1306">
        <f t="shared" si="247"/>
        <v>0</v>
      </c>
      <c r="X1306">
        <f t="shared" si="248"/>
        <v>0</v>
      </c>
      <c r="Y1306">
        <f t="shared" si="249"/>
        <v>0</v>
      </c>
      <c r="Z1306">
        <f t="shared" si="250"/>
        <v>0</v>
      </c>
      <c r="AA1306" t="str">
        <f>INDEX('Priority activities'!$D$5:$D$86,MATCH('Database for analysis'!C1306,'Priority activities'!$C$5:$C$86,0))</f>
        <v>n/a</v>
      </c>
    </row>
    <row r="1307" spans="2:27" ht="16.5" thickTop="1" thickBot="1" x14ac:dyDescent="0.3">
      <c r="B1307" t="s">
        <v>147</v>
      </c>
      <c r="C1307" s="22" t="str">
        <f>'Costing inputs'!$C$108</f>
        <v>Champions program - train FP promoters (D.2.1)</v>
      </c>
      <c r="D1307" s="22" t="str">
        <f>'Costing inputs'!$U$108</f>
        <v>Evenly by province/region</v>
      </c>
      <c r="E1307" s="22" t="str">
        <f>'Regional splits'!$K$14</f>
        <v>Southern</v>
      </c>
      <c r="F1307">
        <v>0</v>
      </c>
      <c r="G1307">
        <v>10926.288</v>
      </c>
      <c r="H1307">
        <v>10926.288</v>
      </c>
      <c r="I1307">
        <v>10926.288</v>
      </c>
      <c r="J1307">
        <v>0</v>
      </c>
      <c r="K1307">
        <v>0</v>
      </c>
      <c r="L1307">
        <v>0</v>
      </c>
      <c r="M1307">
        <v>0</v>
      </c>
      <c r="N1307">
        <v>0</v>
      </c>
      <c r="O1307">
        <v>0</v>
      </c>
      <c r="P1307" s="5">
        <f t="shared" si="241"/>
        <v>32778.864000000001</v>
      </c>
      <c r="Q1307">
        <f t="shared" si="251"/>
        <v>0</v>
      </c>
      <c r="R1307">
        <f t="shared" si="242"/>
        <v>10926.288</v>
      </c>
      <c r="S1307">
        <f t="shared" si="243"/>
        <v>10926.288</v>
      </c>
      <c r="T1307">
        <f t="shared" si="244"/>
        <v>10926.288</v>
      </c>
      <c r="U1307">
        <f t="shared" si="245"/>
        <v>0</v>
      </c>
      <c r="V1307">
        <f t="shared" si="246"/>
        <v>0</v>
      </c>
      <c r="W1307">
        <f t="shared" si="247"/>
        <v>0</v>
      </c>
      <c r="X1307">
        <f t="shared" si="248"/>
        <v>0</v>
      </c>
      <c r="Y1307">
        <f t="shared" si="249"/>
        <v>0</v>
      </c>
      <c r="Z1307">
        <f t="shared" si="250"/>
        <v>0</v>
      </c>
      <c r="AA1307" t="str">
        <f>INDEX('Priority activities'!$D$5:$D$86,MATCH('Database for analysis'!C1307,'Priority activities'!$C$5:$C$86,0))</f>
        <v>n/a</v>
      </c>
    </row>
    <row r="1308" spans="2:27" ht="16.5" thickTop="1" thickBot="1" x14ac:dyDescent="0.3">
      <c r="B1308" t="s">
        <v>147</v>
      </c>
      <c r="C1308" s="22" t="str">
        <f>'Costing inputs'!$C$108</f>
        <v>Champions program - train FP promoters (D.2.1)</v>
      </c>
      <c r="D1308" s="22" t="str">
        <f>'Costing inputs'!$U$108</f>
        <v>Evenly by province/region</v>
      </c>
      <c r="E1308" s="22" t="str">
        <f>'Regional splits'!$L$14</f>
        <v>Western</v>
      </c>
      <c r="F1308">
        <v>0</v>
      </c>
      <c r="G1308">
        <v>10926.288</v>
      </c>
      <c r="H1308">
        <v>10926.288</v>
      </c>
      <c r="I1308">
        <v>10926.288</v>
      </c>
      <c r="J1308">
        <v>0</v>
      </c>
      <c r="K1308">
        <v>0</v>
      </c>
      <c r="L1308">
        <v>0</v>
      </c>
      <c r="M1308">
        <v>0</v>
      </c>
      <c r="N1308">
        <v>0</v>
      </c>
      <c r="O1308">
        <v>0</v>
      </c>
      <c r="P1308" s="5">
        <f t="shared" si="241"/>
        <v>32778.864000000001</v>
      </c>
      <c r="Q1308">
        <f t="shared" si="251"/>
        <v>0</v>
      </c>
      <c r="R1308">
        <f t="shared" si="242"/>
        <v>10926.288</v>
      </c>
      <c r="S1308">
        <f t="shared" si="243"/>
        <v>10926.288</v>
      </c>
      <c r="T1308">
        <f t="shared" si="244"/>
        <v>10926.288</v>
      </c>
      <c r="U1308">
        <f t="shared" si="245"/>
        <v>0</v>
      </c>
      <c r="V1308">
        <f t="shared" si="246"/>
        <v>0</v>
      </c>
      <c r="W1308">
        <f t="shared" si="247"/>
        <v>0</v>
      </c>
      <c r="X1308">
        <f t="shared" si="248"/>
        <v>0</v>
      </c>
      <c r="Y1308">
        <f t="shared" si="249"/>
        <v>0</v>
      </c>
      <c r="Z1308">
        <f t="shared" si="250"/>
        <v>0</v>
      </c>
      <c r="AA1308" t="str">
        <f>INDEX('Priority activities'!$D$5:$D$86,MATCH('Database for analysis'!C1308,'Priority activities'!$C$5:$C$86,0))</f>
        <v>n/a</v>
      </c>
    </row>
    <row r="1309" spans="2:27" ht="16.5" thickTop="1" thickBot="1" x14ac:dyDescent="0.3">
      <c r="B1309" t="s">
        <v>147</v>
      </c>
      <c r="C1309" s="22" t="str">
        <f>'Costing inputs'!$C$108</f>
        <v>Champions program - train FP promoters (D.2.1)</v>
      </c>
      <c r="D1309" s="22" t="str">
        <f>'Costing inputs'!$U$108</f>
        <v>Evenly by province/region</v>
      </c>
      <c r="E1309" s="22">
        <f>'Regional splits'!$M$14</f>
        <v>0</v>
      </c>
      <c r="F1309">
        <v>0</v>
      </c>
      <c r="G1309">
        <v>0</v>
      </c>
      <c r="H1309">
        <v>0</v>
      </c>
      <c r="I1309">
        <v>0</v>
      </c>
      <c r="J1309">
        <v>0</v>
      </c>
      <c r="K1309">
        <v>0</v>
      </c>
      <c r="L1309">
        <v>0</v>
      </c>
      <c r="M1309">
        <v>0</v>
      </c>
      <c r="N1309">
        <v>0</v>
      </c>
      <c r="O1309">
        <v>0</v>
      </c>
      <c r="P1309" s="5">
        <f t="shared" si="241"/>
        <v>0</v>
      </c>
      <c r="Q1309">
        <f t="shared" si="251"/>
        <v>0</v>
      </c>
      <c r="R1309">
        <f t="shared" si="242"/>
        <v>0</v>
      </c>
      <c r="S1309">
        <f t="shared" si="243"/>
        <v>0</v>
      </c>
      <c r="T1309">
        <f t="shared" si="244"/>
        <v>0</v>
      </c>
      <c r="U1309">
        <f t="shared" si="245"/>
        <v>0</v>
      </c>
      <c r="V1309">
        <f t="shared" si="246"/>
        <v>0</v>
      </c>
      <c r="W1309">
        <f t="shared" si="247"/>
        <v>0</v>
      </c>
      <c r="X1309">
        <f t="shared" si="248"/>
        <v>0</v>
      </c>
      <c r="Y1309">
        <f t="shared" si="249"/>
        <v>0</v>
      </c>
      <c r="Z1309">
        <f t="shared" si="250"/>
        <v>0</v>
      </c>
      <c r="AA1309" t="str">
        <f>INDEX('Priority activities'!$D$5:$D$86,MATCH('Database for analysis'!C1309,'Priority activities'!$C$5:$C$86,0))</f>
        <v>n/a</v>
      </c>
    </row>
    <row r="1310" spans="2:27" ht="16.5" thickTop="1" thickBot="1" x14ac:dyDescent="0.3">
      <c r="B1310" t="s">
        <v>147</v>
      </c>
      <c r="C1310" s="22" t="str">
        <f>'Costing inputs'!$C$108</f>
        <v>Champions program - train FP promoters (D.2.1)</v>
      </c>
      <c r="D1310" s="22" t="str">
        <f>'Costing inputs'!$U$108</f>
        <v>Evenly by province/region</v>
      </c>
      <c r="E1310" s="22">
        <f>'Regional splits'!$N$14</f>
        <v>0</v>
      </c>
      <c r="F1310">
        <v>0</v>
      </c>
      <c r="G1310">
        <v>0</v>
      </c>
      <c r="H1310">
        <v>0</v>
      </c>
      <c r="I1310">
        <v>0</v>
      </c>
      <c r="J1310">
        <v>0</v>
      </c>
      <c r="K1310">
        <v>0</v>
      </c>
      <c r="L1310">
        <v>0</v>
      </c>
      <c r="M1310">
        <v>0</v>
      </c>
      <c r="N1310">
        <v>0</v>
      </c>
      <c r="O1310">
        <v>0</v>
      </c>
      <c r="P1310" s="5">
        <f t="shared" si="241"/>
        <v>0</v>
      </c>
      <c r="Q1310">
        <f t="shared" si="251"/>
        <v>0</v>
      </c>
      <c r="R1310">
        <f t="shared" si="242"/>
        <v>0</v>
      </c>
      <c r="S1310">
        <f t="shared" si="243"/>
        <v>0</v>
      </c>
      <c r="T1310">
        <f t="shared" si="244"/>
        <v>0</v>
      </c>
      <c r="U1310">
        <f t="shared" si="245"/>
        <v>0</v>
      </c>
      <c r="V1310">
        <f t="shared" si="246"/>
        <v>0</v>
      </c>
      <c r="W1310">
        <f t="shared" si="247"/>
        <v>0</v>
      </c>
      <c r="X1310">
        <f t="shared" si="248"/>
        <v>0</v>
      </c>
      <c r="Y1310">
        <f t="shared" si="249"/>
        <v>0</v>
      </c>
      <c r="Z1310">
        <f t="shared" si="250"/>
        <v>0</v>
      </c>
      <c r="AA1310" t="str">
        <f>INDEX('Priority activities'!$D$5:$D$86,MATCH('Database for analysis'!C1310,'Priority activities'!$C$5:$C$86,0))</f>
        <v>n/a</v>
      </c>
    </row>
    <row r="1311" spans="2:27" ht="16.5" thickTop="1" thickBot="1" x14ac:dyDescent="0.3">
      <c r="B1311" t="s">
        <v>147</v>
      </c>
      <c r="C1311" s="22" t="str">
        <f>'Costing inputs'!$C$108</f>
        <v>Champions program - train FP promoters (D.2.1)</v>
      </c>
      <c r="D1311" s="22" t="str">
        <f>'Costing inputs'!$U$108</f>
        <v>Evenly by province/region</v>
      </c>
      <c r="E1311" s="22">
        <f>'Regional splits'!$O$14</f>
        <v>0</v>
      </c>
      <c r="F1311">
        <v>0</v>
      </c>
      <c r="G1311">
        <v>0</v>
      </c>
      <c r="H1311">
        <v>0</v>
      </c>
      <c r="I1311">
        <v>0</v>
      </c>
      <c r="J1311">
        <v>0</v>
      </c>
      <c r="K1311">
        <v>0</v>
      </c>
      <c r="L1311">
        <v>0</v>
      </c>
      <c r="M1311">
        <v>0</v>
      </c>
      <c r="N1311">
        <v>0</v>
      </c>
      <c r="O1311">
        <v>0</v>
      </c>
      <c r="P1311" s="5">
        <f t="shared" si="241"/>
        <v>0</v>
      </c>
      <c r="Q1311">
        <f t="shared" si="251"/>
        <v>0</v>
      </c>
      <c r="R1311">
        <f t="shared" si="242"/>
        <v>0</v>
      </c>
      <c r="S1311">
        <f t="shared" si="243"/>
        <v>0</v>
      </c>
      <c r="T1311">
        <f t="shared" si="244"/>
        <v>0</v>
      </c>
      <c r="U1311">
        <f t="shared" si="245"/>
        <v>0</v>
      </c>
      <c r="V1311">
        <f t="shared" si="246"/>
        <v>0</v>
      </c>
      <c r="W1311">
        <f t="shared" si="247"/>
        <v>0</v>
      </c>
      <c r="X1311">
        <f t="shared" si="248"/>
        <v>0</v>
      </c>
      <c r="Y1311">
        <f t="shared" si="249"/>
        <v>0</v>
      </c>
      <c r="Z1311">
        <f t="shared" si="250"/>
        <v>0</v>
      </c>
      <c r="AA1311" t="str">
        <f>INDEX('Priority activities'!$D$5:$D$86,MATCH('Database for analysis'!C1311,'Priority activities'!$C$5:$C$86,0))</f>
        <v>n/a</v>
      </c>
    </row>
    <row r="1312" spans="2:27" ht="16.5" thickTop="1" thickBot="1" x14ac:dyDescent="0.3">
      <c r="B1312" t="s">
        <v>147</v>
      </c>
      <c r="C1312" s="22" t="str">
        <f>'Costing inputs'!$C$108</f>
        <v>Champions program - train FP promoters (D.2.1)</v>
      </c>
      <c r="D1312" s="22" t="str">
        <f>'Costing inputs'!$U$108</f>
        <v>Evenly by province/region</v>
      </c>
      <c r="E1312" s="22">
        <f>'Regional splits'!$P$14</f>
        <v>0</v>
      </c>
      <c r="F1312">
        <v>0</v>
      </c>
      <c r="G1312">
        <v>0</v>
      </c>
      <c r="H1312">
        <v>0</v>
      </c>
      <c r="I1312">
        <v>0</v>
      </c>
      <c r="J1312">
        <v>0</v>
      </c>
      <c r="K1312">
        <v>0</v>
      </c>
      <c r="L1312">
        <v>0</v>
      </c>
      <c r="M1312">
        <v>0</v>
      </c>
      <c r="N1312">
        <v>0</v>
      </c>
      <c r="O1312">
        <v>0</v>
      </c>
      <c r="P1312" s="5">
        <f t="shared" si="241"/>
        <v>0</v>
      </c>
      <c r="Q1312">
        <f t="shared" si="251"/>
        <v>0</v>
      </c>
      <c r="R1312">
        <f t="shared" si="242"/>
        <v>0</v>
      </c>
      <c r="S1312">
        <f t="shared" si="243"/>
        <v>0</v>
      </c>
      <c r="T1312">
        <f t="shared" si="244"/>
        <v>0</v>
      </c>
      <c r="U1312">
        <f t="shared" si="245"/>
        <v>0</v>
      </c>
      <c r="V1312">
        <f t="shared" si="246"/>
        <v>0</v>
      </c>
      <c r="W1312">
        <f t="shared" si="247"/>
        <v>0</v>
      </c>
      <c r="X1312">
        <f t="shared" si="248"/>
        <v>0</v>
      </c>
      <c r="Y1312">
        <f t="shared" si="249"/>
        <v>0</v>
      </c>
      <c r="Z1312">
        <f t="shared" si="250"/>
        <v>0</v>
      </c>
      <c r="AA1312" t="str">
        <f>INDEX('Priority activities'!$D$5:$D$86,MATCH('Database for analysis'!C1312,'Priority activities'!$C$5:$C$86,0))</f>
        <v>n/a</v>
      </c>
    </row>
    <row r="1313" spans="2:27" ht="16.5" thickTop="1" thickBot="1" x14ac:dyDescent="0.3">
      <c r="B1313" t="s">
        <v>147</v>
      </c>
      <c r="C1313" s="22" t="str">
        <f>'Costing inputs'!$C$108</f>
        <v>Champions program - train FP promoters (D.2.1)</v>
      </c>
      <c r="D1313" s="22" t="str">
        <f>'Costing inputs'!$U$108</f>
        <v>Evenly by province/region</v>
      </c>
      <c r="E1313" s="22">
        <f>'Regional splits'!$Q$14</f>
        <v>0</v>
      </c>
      <c r="F1313">
        <v>0</v>
      </c>
      <c r="G1313">
        <v>0</v>
      </c>
      <c r="H1313">
        <v>0</v>
      </c>
      <c r="I1313">
        <v>0</v>
      </c>
      <c r="J1313">
        <v>0</v>
      </c>
      <c r="K1313">
        <v>0</v>
      </c>
      <c r="L1313">
        <v>0</v>
      </c>
      <c r="M1313">
        <v>0</v>
      </c>
      <c r="N1313">
        <v>0</v>
      </c>
      <c r="O1313">
        <v>0</v>
      </c>
      <c r="P1313" s="5">
        <f t="shared" si="241"/>
        <v>0</v>
      </c>
      <c r="Q1313">
        <f t="shared" si="251"/>
        <v>0</v>
      </c>
      <c r="R1313">
        <f t="shared" si="242"/>
        <v>0</v>
      </c>
      <c r="S1313">
        <f t="shared" si="243"/>
        <v>0</v>
      </c>
      <c r="T1313">
        <f t="shared" si="244"/>
        <v>0</v>
      </c>
      <c r="U1313">
        <f t="shared" si="245"/>
        <v>0</v>
      </c>
      <c r="V1313">
        <f t="shared" si="246"/>
        <v>0</v>
      </c>
      <c r="W1313">
        <f t="shared" si="247"/>
        <v>0</v>
      </c>
      <c r="X1313">
        <f t="shared" si="248"/>
        <v>0</v>
      </c>
      <c r="Y1313">
        <f t="shared" si="249"/>
        <v>0</v>
      </c>
      <c r="Z1313">
        <f t="shared" si="250"/>
        <v>0</v>
      </c>
      <c r="AA1313" t="str">
        <f>INDEX('Priority activities'!$D$5:$D$86,MATCH('Database for analysis'!C1313,'Priority activities'!$C$5:$C$86,0))</f>
        <v>n/a</v>
      </c>
    </row>
    <row r="1314" spans="2:27" ht="16.5" thickTop="1" thickBot="1" x14ac:dyDescent="0.3">
      <c r="B1314" t="s">
        <v>147</v>
      </c>
      <c r="C1314" s="22" t="str">
        <f>'Costing inputs'!$C$108</f>
        <v>Champions program - train FP promoters (D.2.1)</v>
      </c>
      <c r="D1314" s="22" t="str">
        <f>'Costing inputs'!$U$108</f>
        <v>Evenly by province/region</v>
      </c>
      <c r="E1314" s="22" t="str">
        <f>'Regional splits'!$R$14</f>
        <v>National-level</v>
      </c>
      <c r="F1314">
        <v>0</v>
      </c>
      <c r="G1314">
        <v>0</v>
      </c>
      <c r="H1314">
        <v>0</v>
      </c>
      <c r="I1314">
        <v>0</v>
      </c>
      <c r="J1314">
        <v>0</v>
      </c>
      <c r="K1314">
        <v>0</v>
      </c>
      <c r="L1314">
        <v>0</v>
      </c>
      <c r="M1314">
        <v>0</v>
      </c>
      <c r="N1314">
        <v>0</v>
      </c>
      <c r="O1314">
        <v>0</v>
      </c>
      <c r="P1314" s="5">
        <f t="shared" si="241"/>
        <v>0</v>
      </c>
      <c r="Q1314">
        <f t="shared" si="251"/>
        <v>0</v>
      </c>
      <c r="R1314">
        <f t="shared" si="242"/>
        <v>0</v>
      </c>
      <c r="S1314">
        <f t="shared" si="243"/>
        <v>0</v>
      </c>
      <c r="T1314">
        <f t="shared" si="244"/>
        <v>0</v>
      </c>
      <c r="U1314">
        <f t="shared" si="245"/>
        <v>0</v>
      </c>
      <c r="V1314">
        <f t="shared" si="246"/>
        <v>0</v>
      </c>
      <c r="W1314">
        <f t="shared" si="247"/>
        <v>0</v>
      </c>
      <c r="X1314">
        <f t="shared" si="248"/>
        <v>0</v>
      </c>
      <c r="Y1314">
        <f t="shared" si="249"/>
        <v>0</v>
      </c>
      <c r="Z1314">
        <f t="shared" si="250"/>
        <v>0</v>
      </c>
      <c r="AA1314" t="str">
        <f>INDEX('Priority activities'!$D$5:$D$86,MATCH('Database for analysis'!C1314,'Priority activities'!$C$5:$C$86,0))</f>
        <v>n/a</v>
      </c>
    </row>
    <row r="1315" spans="2:27" ht="15.75" thickTop="1" x14ac:dyDescent="0.25"/>
  </sheetData>
  <sheetProtection password="F24F"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30"/>
  <sheetViews>
    <sheetView workbookViewId="0">
      <selection activeCell="D2" sqref="D2"/>
    </sheetView>
  </sheetViews>
  <sheetFormatPr defaultRowHeight="15" x14ac:dyDescent="0.25"/>
  <cols>
    <col min="2" max="2" width="69.42578125" customWidth="1"/>
    <col min="3" max="12" width="15.85546875" customWidth="1"/>
    <col min="13" max="13" width="16.140625" customWidth="1"/>
    <col min="14" max="14" width="6.7109375" customWidth="1"/>
    <col min="15" max="15" width="12" customWidth="1"/>
    <col min="16" max="16" width="15.28515625" customWidth="1"/>
    <col min="17" max="17" width="14.5703125" customWidth="1"/>
    <col min="18" max="19" width="11" customWidth="1"/>
    <col min="20" max="20" width="6.7109375" customWidth="1"/>
    <col min="21" max="21" width="10" customWidth="1"/>
    <col min="22" max="26" width="12" customWidth="1"/>
    <col min="27" max="27" width="10" customWidth="1"/>
    <col min="28" max="28" width="11" customWidth="1"/>
    <col min="29" max="34" width="12" customWidth="1"/>
    <col min="35" max="35" width="10.42578125" customWidth="1"/>
    <col min="36" max="36" width="12" customWidth="1"/>
    <col min="37" max="37" width="11" customWidth="1"/>
    <col min="38" max="41" width="12" customWidth="1"/>
    <col min="42" max="43" width="10.42578125" customWidth="1"/>
    <col min="44" max="46" width="12" customWidth="1"/>
    <col min="47" max="47" width="10.42578125" customWidth="1"/>
    <col min="48" max="50" width="12" customWidth="1"/>
    <col min="51" max="51" width="11" customWidth="1"/>
    <col min="52" max="53" width="12" customWidth="1"/>
    <col min="54" max="54" width="10.42578125" customWidth="1"/>
    <col min="55" max="55" width="12" customWidth="1"/>
    <col min="56" max="57" width="11" customWidth="1"/>
    <col min="58" max="58" width="12" customWidth="1"/>
    <col min="59" max="59" width="11" customWidth="1"/>
    <col min="60" max="61" width="12" customWidth="1"/>
    <col min="62" max="62" width="11" customWidth="1"/>
    <col min="63" max="63" width="12" customWidth="1"/>
    <col min="64" max="64" width="11" customWidth="1"/>
    <col min="65" max="65" width="12" customWidth="1"/>
    <col min="66" max="66" width="11" customWidth="1"/>
    <col min="67" max="67" width="7" customWidth="1"/>
    <col min="68" max="68" width="12" customWidth="1"/>
    <col min="69" max="69" width="10" customWidth="1"/>
    <col min="70" max="70" width="12" customWidth="1"/>
    <col min="71" max="71" width="7" customWidth="1"/>
    <col min="72" max="72" width="12" customWidth="1"/>
    <col min="73" max="73" width="11" customWidth="1"/>
    <col min="74" max="74" width="12" customWidth="1"/>
    <col min="75" max="75" width="7" customWidth="1"/>
    <col min="76" max="76" width="12" customWidth="1"/>
    <col min="77" max="77" width="11" customWidth="1"/>
    <col min="78" max="78" width="7" customWidth="1"/>
    <col min="79" max="79" width="11" customWidth="1"/>
    <col min="80" max="82" width="12" customWidth="1"/>
    <col min="83" max="83" width="7" customWidth="1"/>
    <col min="84" max="85" width="12" customWidth="1"/>
    <col min="86" max="86" width="10.42578125" customWidth="1"/>
    <col min="87" max="87" width="10" customWidth="1"/>
    <col min="88" max="88" width="12" customWidth="1"/>
    <col min="89" max="89" width="11" customWidth="1"/>
    <col min="90" max="91" width="7" customWidth="1"/>
    <col min="92" max="94" width="12" customWidth="1"/>
    <col min="95" max="95" width="10.42578125" customWidth="1"/>
    <col min="96" max="96" width="11" customWidth="1"/>
    <col min="97" max="100" width="12" customWidth="1"/>
    <col min="101" max="101" width="11.85546875" customWidth="1"/>
    <col min="102" max="103" width="12" customWidth="1"/>
    <col min="104" max="104" width="10" customWidth="1"/>
    <col min="105" max="105" width="12" customWidth="1"/>
    <col min="106" max="106" width="12.85546875" customWidth="1"/>
    <col min="107" max="107" width="5.5703125" customWidth="1"/>
    <col min="108" max="108" width="12.85546875" customWidth="1"/>
    <col min="109" max="117" width="12" customWidth="1"/>
    <col min="118" max="118" width="8.42578125" customWidth="1"/>
    <col min="119" max="119" width="10.42578125" customWidth="1"/>
    <col min="120" max="120" width="12" customWidth="1"/>
    <col min="121" max="121" width="11" customWidth="1"/>
    <col min="122" max="122" width="12" customWidth="1"/>
    <col min="123" max="124" width="11" customWidth="1"/>
    <col min="125" max="125" width="9.42578125" customWidth="1"/>
    <col min="126" max="126" width="10" customWidth="1"/>
    <col min="127" max="131" width="12" bestFit="1" customWidth="1"/>
    <col min="132" max="132" width="10" bestFit="1" customWidth="1"/>
    <col min="133" max="133" width="11" bestFit="1" customWidth="1"/>
    <col min="134" max="139" width="12" bestFit="1" customWidth="1"/>
    <col min="140" max="140" width="10.42578125" bestFit="1" customWidth="1"/>
    <col min="141" max="141" width="12" bestFit="1" customWidth="1"/>
    <col min="142" max="142" width="11" bestFit="1" customWidth="1"/>
    <col min="143" max="146" width="12" bestFit="1" customWidth="1"/>
    <col min="147" max="148" width="10.42578125" bestFit="1" customWidth="1"/>
    <col min="149" max="151" width="12" bestFit="1" customWidth="1"/>
    <col min="152" max="152" width="10.42578125" bestFit="1" customWidth="1"/>
    <col min="153" max="155" width="12" bestFit="1" customWidth="1"/>
    <col min="156" max="156" width="11" bestFit="1" customWidth="1"/>
    <col min="157" max="158" width="12" bestFit="1" customWidth="1"/>
    <col min="159" max="159" width="10.42578125" bestFit="1" customWidth="1"/>
    <col min="160" max="160" width="12" bestFit="1" customWidth="1"/>
    <col min="161" max="162" width="11" bestFit="1" customWidth="1"/>
    <col min="163" max="163" width="12" bestFit="1" customWidth="1"/>
    <col min="164" max="164" width="11" bestFit="1" customWidth="1"/>
    <col min="165" max="166" width="12" bestFit="1" customWidth="1"/>
    <col min="167" max="167" width="11" bestFit="1" customWidth="1"/>
    <col min="168" max="168" width="12" bestFit="1" customWidth="1"/>
    <col min="169" max="169" width="11" bestFit="1" customWidth="1"/>
    <col min="170" max="170" width="12" bestFit="1" customWidth="1"/>
    <col min="171" max="171" width="11.85546875" bestFit="1" customWidth="1"/>
    <col min="172" max="172" width="10.42578125" bestFit="1" customWidth="1"/>
    <col min="173" max="173" width="12" bestFit="1" customWidth="1"/>
    <col min="174" max="174" width="10.42578125" bestFit="1" customWidth="1"/>
    <col min="175" max="175" width="12" bestFit="1" customWidth="1"/>
    <col min="176" max="176" width="10.42578125" bestFit="1" customWidth="1"/>
    <col min="177" max="177" width="12" bestFit="1" customWidth="1"/>
    <col min="178" max="178" width="11" bestFit="1" customWidth="1"/>
    <col min="179" max="179" width="12" bestFit="1" customWidth="1"/>
    <col min="180" max="180" width="10.42578125" bestFit="1" customWidth="1"/>
    <col min="181" max="181" width="12" bestFit="1" customWidth="1"/>
    <col min="182" max="183" width="11.85546875" bestFit="1" customWidth="1"/>
    <col min="184" max="184" width="11" bestFit="1" customWidth="1"/>
    <col min="185" max="187" width="12" bestFit="1" customWidth="1"/>
    <col min="188" max="188" width="10.42578125" bestFit="1" customWidth="1"/>
    <col min="189" max="190" width="12" bestFit="1" customWidth="1"/>
    <col min="191" max="192" width="10.42578125" bestFit="1" customWidth="1"/>
    <col min="193" max="193" width="12" bestFit="1" customWidth="1"/>
    <col min="194" max="194" width="11" bestFit="1" customWidth="1"/>
    <col min="195" max="196" width="10.42578125" bestFit="1" customWidth="1"/>
    <col min="197" max="199" width="12" bestFit="1" customWidth="1"/>
    <col min="200" max="200" width="10.42578125" bestFit="1" customWidth="1"/>
    <col min="201" max="201" width="11" bestFit="1" customWidth="1"/>
    <col min="202" max="205" width="12" bestFit="1" customWidth="1"/>
    <col min="206" max="206" width="11.85546875" bestFit="1" customWidth="1"/>
    <col min="207" max="208" width="12" bestFit="1" customWidth="1"/>
    <col min="209" max="209" width="11.85546875" bestFit="1" customWidth="1"/>
    <col min="210" max="210" width="12" bestFit="1" customWidth="1"/>
    <col min="211" max="211" width="12.85546875" bestFit="1" customWidth="1"/>
    <col min="212" max="212" width="5.5703125" customWidth="1"/>
    <col min="213" max="213" width="13.140625" bestFit="1" customWidth="1"/>
    <col min="214" max="222" width="12" bestFit="1" customWidth="1"/>
    <col min="223" max="223" width="5" customWidth="1"/>
    <col min="224" max="224" width="6" customWidth="1"/>
    <col min="225" max="225" width="12" bestFit="1" customWidth="1"/>
    <col min="226" max="226" width="11" bestFit="1" customWidth="1"/>
    <col min="227" max="227" width="12" bestFit="1" customWidth="1"/>
    <col min="228" max="229" width="11" bestFit="1" customWidth="1"/>
    <col min="230" max="230" width="6" customWidth="1"/>
    <col min="231" max="231" width="10" bestFit="1" customWidth="1"/>
    <col min="232" max="236" width="12" bestFit="1" customWidth="1"/>
    <col min="237" max="237" width="10" bestFit="1" customWidth="1"/>
    <col min="238" max="238" width="11" bestFit="1" customWidth="1"/>
    <col min="239" max="244" width="12" bestFit="1" customWidth="1"/>
    <col min="245" max="245" width="10" bestFit="1" customWidth="1"/>
    <col min="246" max="246" width="12" bestFit="1" customWidth="1"/>
    <col min="247" max="247" width="11" bestFit="1" customWidth="1"/>
    <col min="248" max="251" width="12" bestFit="1" customWidth="1"/>
    <col min="252" max="253" width="10" bestFit="1" customWidth="1"/>
    <col min="254" max="256" width="12" bestFit="1" customWidth="1"/>
    <col min="257" max="257" width="10" bestFit="1" customWidth="1"/>
    <col min="258" max="260" width="12" bestFit="1" customWidth="1"/>
    <col min="261" max="261" width="11" bestFit="1" customWidth="1"/>
    <col min="262" max="263" width="12" bestFit="1" customWidth="1"/>
    <col min="264" max="264" width="10" bestFit="1" customWidth="1"/>
    <col min="265" max="265" width="12" bestFit="1" customWidth="1"/>
    <col min="266" max="267" width="11" bestFit="1" customWidth="1"/>
    <col min="268" max="268" width="12" bestFit="1" customWidth="1"/>
    <col min="269" max="269" width="11" bestFit="1" customWidth="1"/>
    <col min="270" max="271" width="12" bestFit="1" customWidth="1"/>
    <col min="272" max="272" width="11" bestFit="1" customWidth="1"/>
    <col min="273" max="273" width="12" bestFit="1" customWidth="1"/>
    <col min="274" max="274" width="11" bestFit="1" customWidth="1"/>
    <col min="275" max="275" width="12" bestFit="1" customWidth="1"/>
    <col min="276" max="276" width="11" bestFit="1" customWidth="1"/>
    <col min="277" max="277" width="7" customWidth="1"/>
    <col min="278" max="278" width="12" bestFit="1" customWidth="1"/>
    <col min="279" max="279" width="10" bestFit="1" customWidth="1"/>
    <col min="280" max="280" width="12" bestFit="1" customWidth="1"/>
    <col min="281" max="281" width="7" customWidth="1"/>
    <col min="282" max="282" width="12" bestFit="1" customWidth="1"/>
    <col min="283" max="283" width="11" bestFit="1" customWidth="1"/>
    <col min="284" max="284" width="12" bestFit="1" customWidth="1"/>
    <col min="285" max="285" width="7" customWidth="1"/>
    <col min="286" max="286" width="12" bestFit="1" customWidth="1"/>
    <col min="287" max="287" width="11" bestFit="1" customWidth="1"/>
    <col min="288" max="288" width="7" customWidth="1"/>
    <col min="289" max="289" width="11" bestFit="1" customWidth="1"/>
    <col min="290" max="292" width="12" bestFit="1" customWidth="1"/>
    <col min="293" max="293" width="7" customWidth="1"/>
    <col min="294" max="295" width="12" bestFit="1" customWidth="1"/>
    <col min="296" max="296" width="7" customWidth="1"/>
    <col min="297" max="297" width="10" bestFit="1" customWidth="1"/>
    <col min="298" max="298" width="12" bestFit="1" customWidth="1"/>
    <col min="299" max="299" width="11" bestFit="1" customWidth="1"/>
    <col min="300" max="301" width="7" customWidth="1"/>
    <col min="302" max="304" width="12" bestFit="1" customWidth="1"/>
    <col min="305" max="305" width="7" customWidth="1"/>
    <col min="306" max="306" width="11" bestFit="1" customWidth="1"/>
    <col min="307" max="310" width="12" bestFit="1" customWidth="1"/>
    <col min="311" max="311" width="11" bestFit="1" customWidth="1"/>
    <col min="312" max="313" width="12" bestFit="1" customWidth="1"/>
    <col min="314" max="314" width="10" bestFit="1" customWidth="1"/>
    <col min="315" max="316" width="12" bestFit="1" customWidth="1"/>
    <col min="317" max="317" width="6" customWidth="1"/>
    <col min="318" max="319" width="16.5703125" bestFit="1" customWidth="1"/>
    <col min="320" max="320" width="18.140625" bestFit="1" customWidth="1"/>
  </cols>
  <sheetData>
    <row r="3" spans="2:9" x14ac:dyDescent="0.25">
      <c r="B3" s="87" t="s">
        <v>719</v>
      </c>
      <c r="C3" s="87"/>
      <c r="E3" s="87" t="s">
        <v>720</v>
      </c>
      <c r="F3" s="87"/>
    </row>
    <row r="4" spans="2:9" x14ac:dyDescent="0.25">
      <c r="B4" s="71" t="s">
        <v>510</v>
      </c>
      <c r="C4" t="s">
        <v>512</v>
      </c>
      <c r="E4" s="71" t="s">
        <v>510</v>
      </c>
      <c r="F4" t="s">
        <v>512</v>
      </c>
    </row>
    <row r="5" spans="2:9" x14ac:dyDescent="0.25">
      <c r="B5" s="72" t="s">
        <v>147</v>
      </c>
      <c r="C5" s="85">
        <v>69921645.599999994</v>
      </c>
      <c r="E5" s="72" t="s">
        <v>147</v>
      </c>
      <c r="F5" s="85">
        <v>69921645.59999992</v>
      </c>
      <c r="G5" s="54">
        <f t="shared" ref="G5:G10" si="0">F5/$F$12</f>
        <v>0.11829887430876647</v>
      </c>
    </row>
    <row r="6" spans="2:9" x14ac:dyDescent="0.25">
      <c r="B6" s="73" t="s">
        <v>567</v>
      </c>
      <c r="C6" s="85">
        <v>31071840.000000004</v>
      </c>
      <c r="E6" s="72" t="s">
        <v>195</v>
      </c>
      <c r="F6" s="85">
        <v>173767770.6911999</v>
      </c>
      <c r="G6" s="54">
        <f t="shared" si="0"/>
        <v>0.29399381961789572</v>
      </c>
    </row>
    <row r="7" spans="2:9" x14ac:dyDescent="0.25">
      <c r="B7" s="73" t="s">
        <v>564</v>
      </c>
      <c r="C7" s="85">
        <v>75000</v>
      </c>
      <c r="E7" s="72" t="s">
        <v>262</v>
      </c>
      <c r="F7" s="85">
        <v>9682259.9856556989</v>
      </c>
      <c r="G7" s="54">
        <f t="shared" si="0"/>
        <v>1.6381199945155234E-2</v>
      </c>
    </row>
    <row r="8" spans="2:9" x14ac:dyDescent="0.25">
      <c r="B8" s="73" t="s">
        <v>568</v>
      </c>
      <c r="C8" s="85">
        <v>21460800</v>
      </c>
      <c r="E8" s="72" t="s">
        <v>263</v>
      </c>
      <c r="F8" s="85">
        <v>762004.93599999999</v>
      </c>
      <c r="G8" s="54">
        <f t="shared" si="0"/>
        <v>1.2892191734475388E-3</v>
      </c>
    </row>
    <row r="9" spans="2:9" x14ac:dyDescent="0.25">
      <c r="B9" s="73" t="s">
        <v>570</v>
      </c>
      <c r="C9" s="85">
        <v>158218.03200000001</v>
      </c>
      <c r="E9" s="72" t="s">
        <v>264</v>
      </c>
      <c r="F9" s="85">
        <v>310771.22000000003</v>
      </c>
      <c r="G9" s="54">
        <f t="shared" si="0"/>
        <v>5.2578690301250655E-4</v>
      </c>
    </row>
    <row r="10" spans="2:9" x14ac:dyDescent="0.25">
      <c r="B10" s="73" t="s">
        <v>565</v>
      </c>
      <c r="C10" s="85">
        <v>4073300</v>
      </c>
      <c r="E10" s="72" t="s">
        <v>727</v>
      </c>
      <c r="F10" s="85">
        <v>128582114.46799986</v>
      </c>
      <c r="G10" s="54">
        <f t="shared" si="0"/>
        <v>0.21754521460812637</v>
      </c>
      <c r="I10" s="85">
        <f>SUM(F5:F10)</f>
        <v>383026566.90085536</v>
      </c>
    </row>
    <row r="11" spans="2:9" x14ac:dyDescent="0.25">
      <c r="B11" s="73" t="s">
        <v>566</v>
      </c>
      <c r="C11" s="85">
        <v>5880000</v>
      </c>
      <c r="E11" s="72" t="s">
        <v>713</v>
      </c>
      <c r="F11" s="85">
        <v>208032697.26002449</v>
      </c>
      <c r="G11" s="54">
        <f>F11/$F$12</f>
        <v>0.35196588544359619</v>
      </c>
    </row>
    <row r="12" spans="2:9" x14ac:dyDescent="0.25">
      <c r="B12" s="73" t="s">
        <v>571</v>
      </c>
      <c r="C12" s="85">
        <v>0</v>
      </c>
      <c r="E12" s="72" t="s">
        <v>511</v>
      </c>
      <c r="F12" s="85">
        <v>591059264.16087985</v>
      </c>
      <c r="G12" s="81"/>
    </row>
    <row r="13" spans="2:9" x14ac:dyDescent="0.25">
      <c r="B13" s="73" t="s">
        <v>569</v>
      </c>
      <c r="C13" s="85">
        <v>0</v>
      </c>
    </row>
    <row r="14" spans="2:9" x14ac:dyDescent="0.25">
      <c r="B14" s="73" t="s">
        <v>572</v>
      </c>
      <c r="C14" s="85">
        <v>0</v>
      </c>
    </row>
    <row r="15" spans="2:9" x14ac:dyDescent="0.25">
      <c r="B15" s="73" t="s">
        <v>772</v>
      </c>
      <c r="C15" s="85">
        <v>440000</v>
      </c>
    </row>
    <row r="16" spans="2:9" x14ac:dyDescent="0.25">
      <c r="B16" s="73" t="s">
        <v>764</v>
      </c>
      <c r="C16" s="85">
        <v>4599115.4719999991</v>
      </c>
      <c r="E16" s="87" t="s">
        <v>721</v>
      </c>
      <c r="F16" s="87"/>
    </row>
    <row r="17" spans="2:8" x14ac:dyDescent="0.25">
      <c r="B17" s="73" t="s">
        <v>760</v>
      </c>
      <c r="C17" s="85">
        <v>280000</v>
      </c>
      <c r="E17" s="71" t="s">
        <v>510</v>
      </c>
      <c r="F17" t="s">
        <v>512</v>
      </c>
    </row>
    <row r="18" spans="2:8" x14ac:dyDescent="0.25">
      <c r="B18" s="73" t="s">
        <v>759</v>
      </c>
      <c r="C18" s="85">
        <v>796284.57599999988</v>
      </c>
      <c r="E18" s="72" t="s">
        <v>709</v>
      </c>
      <c r="F18" s="85">
        <v>62719158.031999998</v>
      </c>
      <c r="H18" s="81">
        <f>GETPIVOTDATA("Total cost",$E$17,"Priority activities","FP demand generation and behaviour change communication")/8</f>
        <v>7839894.7539999997</v>
      </c>
    </row>
    <row r="19" spans="2:8" x14ac:dyDescent="0.25">
      <c r="B19" s="73" t="s">
        <v>778</v>
      </c>
      <c r="C19" s="85">
        <v>374938.87200000003</v>
      </c>
      <c r="E19" s="72" t="s">
        <v>710</v>
      </c>
      <c r="F19" s="85">
        <v>6059760.0559999989</v>
      </c>
      <c r="H19" s="81"/>
    </row>
    <row r="20" spans="2:8" x14ac:dyDescent="0.25">
      <c r="B20" s="73" t="s">
        <v>779</v>
      </c>
      <c r="C20" s="85">
        <v>327788.64</v>
      </c>
      <c r="E20" s="72" t="s">
        <v>711</v>
      </c>
      <c r="F20" s="85">
        <v>49416781.888000041</v>
      </c>
      <c r="H20" s="81"/>
    </row>
    <row r="21" spans="2:8" x14ac:dyDescent="0.25">
      <c r="B21" s="73" t="s">
        <v>805</v>
      </c>
      <c r="C21" s="85">
        <v>28677.576000000001</v>
      </c>
      <c r="E21" s="72" t="s">
        <v>712</v>
      </c>
      <c r="F21" s="85">
        <v>104404713.58999996</v>
      </c>
      <c r="H21" s="81">
        <f>GETPIVOTDATA("Total cost",$E$17,"Priority activities","Rural and underserved access to FP services")/8</f>
        <v>13050589.198749995</v>
      </c>
    </row>
    <row r="22" spans="2:8" x14ac:dyDescent="0.25">
      <c r="B22" s="73" t="s">
        <v>808</v>
      </c>
      <c r="C22" s="85">
        <v>355682.43199999997</v>
      </c>
      <c r="E22" s="72" t="s">
        <v>716</v>
      </c>
      <c r="F22" s="85">
        <v>366444.00000000006</v>
      </c>
    </row>
    <row r="23" spans="2:8" x14ac:dyDescent="0.25">
      <c r="B23" s="72" t="s">
        <v>195</v>
      </c>
      <c r="C23" s="85">
        <v>173767770.69119999</v>
      </c>
      <c r="E23" s="72" t="s">
        <v>717</v>
      </c>
      <c r="F23" s="85">
        <v>35066033.283999957</v>
      </c>
      <c r="G23" s="85">
        <f>SUM(F18:F23)</f>
        <v>258032890.84999993</v>
      </c>
    </row>
    <row r="24" spans="2:8" x14ac:dyDescent="0.25">
      <c r="B24" s="73" t="s">
        <v>587</v>
      </c>
      <c r="C24" s="85">
        <v>1386000</v>
      </c>
      <c r="E24" s="72" t="s">
        <v>718</v>
      </c>
      <c r="F24" s="85">
        <v>333026373.31088042</v>
      </c>
      <c r="G24">
        <f>G23/GETPIVOTDATA("Total cost",$E$17)</f>
        <v>0.43656009895441888</v>
      </c>
    </row>
    <row r="25" spans="2:8" x14ac:dyDescent="0.25">
      <c r="B25" s="73" t="s">
        <v>588</v>
      </c>
      <c r="C25" s="85">
        <v>39060000.000000007</v>
      </c>
      <c r="E25" s="72" t="s">
        <v>511</v>
      </c>
      <c r="F25" s="85">
        <v>591059264.16088033</v>
      </c>
    </row>
    <row r="26" spans="2:8" x14ac:dyDescent="0.25">
      <c r="B26" s="73" t="s">
        <v>586</v>
      </c>
      <c r="C26" s="85">
        <v>19231954.560000006</v>
      </c>
    </row>
    <row r="27" spans="2:8" x14ac:dyDescent="0.25">
      <c r="B27" s="73" t="s">
        <v>671</v>
      </c>
      <c r="C27" s="85">
        <v>341560.44799999992</v>
      </c>
    </row>
    <row r="28" spans="2:8" x14ac:dyDescent="0.25">
      <c r="B28" s="73" t="s">
        <v>681</v>
      </c>
      <c r="C28" s="85">
        <v>392584.88</v>
      </c>
      <c r="E28" s="87" t="s">
        <v>798</v>
      </c>
      <c r="F28" s="87"/>
    </row>
    <row r="29" spans="2:8" x14ac:dyDescent="0.25">
      <c r="B29" s="73" t="s">
        <v>582</v>
      </c>
      <c r="C29" s="85">
        <v>28677.576000000001</v>
      </c>
      <c r="E29" t="s">
        <v>797</v>
      </c>
      <c r="G29" s="85"/>
    </row>
    <row r="30" spans="2:8" x14ac:dyDescent="0.25">
      <c r="B30" s="73" t="s">
        <v>578</v>
      </c>
      <c r="C30" s="85">
        <v>529532.99200000009</v>
      </c>
      <c r="E30" t="s">
        <v>801</v>
      </c>
      <c r="F30" s="26">
        <f>GETPIVOTDATA("Total cost",$B$4,"Category","Service delivery and access","Line item","Pre-service training - curriculum review (SDA5.1)")</f>
        <v>73677.576000000001</v>
      </c>
    </row>
    <row r="31" spans="2:8" x14ac:dyDescent="0.25">
      <c r="B31" s="73" t="s">
        <v>577</v>
      </c>
      <c r="C31" s="85">
        <v>31186347.872000005</v>
      </c>
      <c r="E31" t="s">
        <v>802</v>
      </c>
      <c r="F31" s="26" t="e">
        <f>GETPIVOTDATA("Total cost",$B$4,"Category","Service delivery and access","Line item","In-service training - training plan and curriculum review (SDA2.1 and SDA2.2)")+GETPIVOTDATA("Total cost",$B$4,"Category","Service delivery and access","Line item","Training materials - initial investment (SDA4)")</f>
        <v>#REF!</v>
      </c>
    </row>
    <row r="32" spans="2:8" x14ac:dyDescent="0.25">
      <c r="B32" s="73" t="s">
        <v>575</v>
      </c>
      <c r="C32" s="85">
        <v>1432530.6240000001</v>
      </c>
      <c r="E32" t="s">
        <v>800</v>
      </c>
      <c r="F32" s="26">
        <f>+GETPIVOTDATA("Total cost",$B$4,"Category","Service delivery and access","Line item","Pre-service training - training of trainers (SDA5.1)")</f>
        <v>1064429.456</v>
      </c>
    </row>
    <row r="33" spans="2:7" x14ac:dyDescent="0.25">
      <c r="B33" s="73" t="s">
        <v>576</v>
      </c>
      <c r="C33" s="85">
        <v>707808.51199999999</v>
      </c>
      <c r="E33" t="s">
        <v>799</v>
      </c>
      <c r="F33" s="26">
        <f>GETPIVOTDATA("Total cost",$B$4,"Category","Service delivery and access","Line item","In-service training - Dedicated FP providers (SDA4.3)")+GETPIVOTDATA("Total cost",$B$4,"Category","Service delivery and access","Line item","In-service training - training of trainers (SDA3.1)")</f>
        <v>1962063.6160000002</v>
      </c>
      <c r="G33" s="85"/>
    </row>
    <row r="34" spans="2:7" x14ac:dyDescent="0.25">
      <c r="B34" s="73" t="s">
        <v>600</v>
      </c>
      <c r="C34" s="85">
        <v>15000</v>
      </c>
      <c r="E34" t="s">
        <v>795</v>
      </c>
      <c r="F34" s="26">
        <f>GETPIVOTDATA("Total cost",$B$4,"Category","Service delivery and access","Line item","In-service training - training of trainers for CBDs (SDA 3.2)")</f>
        <v>707808.51199999999</v>
      </c>
    </row>
    <row r="35" spans="2:7" x14ac:dyDescent="0.25">
      <c r="B35" s="73" t="s">
        <v>591</v>
      </c>
      <c r="C35" s="85">
        <v>2327101.8300000005</v>
      </c>
      <c r="E35" t="s">
        <v>789</v>
      </c>
      <c r="F35" s="26">
        <f>GETPIVOTDATA("Total cost",$B$4,"Category","Service delivery and access","Line item","In-service training - LARC training (SDA4.1)")+GETPIVOTDATA("Total cost",$B$4,"Category","Service delivery and access","Line item","On-the-job skills updates (SDA4.2)")</f>
        <v>44244813.152000003</v>
      </c>
    </row>
    <row r="36" spans="2:7" x14ac:dyDescent="0.25">
      <c r="B36" s="73" t="s">
        <v>677</v>
      </c>
      <c r="C36" s="85">
        <v>13058465.279999999</v>
      </c>
      <c r="E36" t="s">
        <v>788</v>
      </c>
      <c r="F36" s="26">
        <f>GETPIVOTDATA("Total cost",$B$4,"Category","Service delivery and access","Line item","CBD training (SDA7.2 and 7.3 supplemental)")</f>
        <v>19231954.560000006</v>
      </c>
    </row>
    <row r="37" spans="2:7" x14ac:dyDescent="0.25">
      <c r="B37" s="73" t="s">
        <v>590</v>
      </c>
      <c r="C37" s="85">
        <v>41920339.327999987</v>
      </c>
      <c r="F37" s="26" t="e">
        <f>SUM(F30:F36)</f>
        <v>#REF!</v>
      </c>
    </row>
    <row r="38" spans="2:7" x14ac:dyDescent="0.25">
      <c r="B38" s="73" t="s">
        <v>580</v>
      </c>
      <c r="C38" s="85">
        <v>73677.576000000001</v>
      </c>
      <c r="E38" t="s">
        <v>787</v>
      </c>
      <c r="F38" s="26"/>
    </row>
    <row r="39" spans="2:7" x14ac:dyDescent="0.25">
      <c r="B39" s="73" t="s">
        <v>581</v>
      </c>
      <c r="C39" s="85">
        <v>1064429.456</v>
      </c>
      <c r="E39" t="s">
        <v>790</v>
      </c>
      <c r="F39" s="26">
        <f>'Costing inputs'!M155*'Costing inputs'!O155*4</f>
        <v>160</v>
      </c>
    </row>
    <row r="40" spans="2:7" x14ac:dyDescent="0.25">
      <c r="B40" s="73" t="s">
        <v>679</v>
      </c>
      <c r="C40" s="85">
        <v>86732.991999999984</v>
      </c>
      <c r="E40" t="s">
        <v>791</v>
      </c>
      <c r="F40" s="26">
        <f>'Costing inputs'!M166*'Costing inputs'!O166*4</f>
        <v>320</v>
      </c>
    </row>
    <row r="41" spans="2:7" x14ac:dyDescent="0.25">
      <c r="B41" s="73" t="s">
        <v>683</v>
      </c>
      <c r="C41" s="85">
        <v>1878778.068</v>
      </c>
      <c r="E41" t="s">
        <v>792</v>
      </c>
      <c r="F41" s="26">
        <f>'Costing inputs'!M172*'Costing inputs'!O172*2</f>
        <v>100</v>
      </c>
    </row>
    <row r="42" spans="2:7" x14ac:dyDescent="0.25">
      <c r="B42" s="73" t="s">
        <v>858</v>
      </c>
      <c r="C42" s="85">
        <v>1335311.9999999998</v>
      </c>
      <c r="E42" t="s">
        <v>794</v>
      </c>
      <c r="F42" s="26">
        <f>'Costing inputs'!M177*'Costing inputs'!O177*8</f>
        <v>4000</v>
      </c>
    </row>
    <row r="43" spans="2:7" x14ac:dyDescent="0.25">
      <c r="B43" s="73" t="s">
        <v>843</v>
      </c>
      <c r="C43" s="85">
        <v>389739.67420000001</v>
      </c>
      <c r="E43" t="s">
        <v>788</v>
      </c>
      <c r="F43" s="26">
        <f>'Costing inputs'!M205*'Costing inputs'!O205*7</f>
        <v>2100</v>
      </c>
    </row>
    <row r="44" spans="2:7" x14ac:dyDescent="0.25">
      <c r="B44" s="73" t="s">
        <v>862</v>
      </c>
      <c r="C44" s="85">
        <v>11266506.25</v>
      </c>
      <c r="F44" s="26"/>
    </row>
    <row r="45" spans="2:7" x14ac:dyDescent="0.25">
      <c r="B45" s="73" t="s">
        <v>853</v>
      </c>
      <c r="C45" s="85">
        <v>5633253.125</v>
      </c>
      <c r="E45" t="s">
        <v>793</v>
      </c>
      <c r="F45" s="26" t="e">
        <f>(F31+F33+F35)/F42</f>
        <v>#REF!</v>
      </c>
    </row>
    <row r="46" spans="2:7" x14ac:dyDescent="0.25">
      <c r="B46" s="73" t="s">
        <v>844</v>
      </c>
      <c r="C46" s="85">
        <v>221329.91999999998</v>
      </c>
      <c r="E46" s="7" t="s">
        <v>796</v>
      </c>
      <c r="F46" s="94" t="e">
        <f>F45/5.4</f>
        <v>#REF!</v>
      </c>
    </row>
    <row r="47" spans="2:7" x14ac:dyDescent="0.25">
      <c r="B47" s="73" t="s">
        <v>864</v>
      </c>
      <c r="C47" s="85">
        <v>200107.728</v>
      </c>
    </row>
    <row r="48" spans="2:7" x14ac:dyDescent="0.25">
      <c r="B48" s="72" t="s">
        <v>262</v>
      </c>
      <c r="C48" s="85">
        <v>9682259.9856556952</v>
      </c>
    </row>
    <row r="49" spans="2:3" x14ac:dyDescent="0.25">
      <c r="B49" s="73" t="s">
        <v>619</v>
      </c>
      <c r="C49" s="85">
        <v>366444.00000000006</v>
      </c>
    </row>
    <row r="50" spans="2:3" x14ac:dyDescent="0.25">
      <c r="B50" s="73" t="s">
        <v>615</v>
      </c>
      <c r="C50" s="85">
        <v>0</v>
      </c>
    </row>
    <row r="51" spans="2:3" x14ac:dyDescent="0.25">
      <c r="B51" s="73" t="s">
        <v>456</v>
      </c>
      <c r="C51" s="85">
        <v>0</v>
      </c>
    </row>
    <row r="52" spans="2:3" x14ac:dyDescent="0.25">
      <c r="B52" s="73" t="s">
        <v>457</v>
      </c>
      <c r="C52" s="85">
        <v>0</v>
      </c>
    </row>
    <row r="53" spans="2:3" x14ac:dyDescent="0.25">
      <c r="B53" s="73" t="s">
        <v>611</v>
      </c>
      <c r="C53" s="85">
        <v>8036104.3455999997</v>
      </c>
    </row>
    <row r="54" spans="2:3" x14ac:dyDescent="0.25">
      <c r="B54" s="73" t="s">
        <v>616</v>
      </c>
      <c r="C54" s="85">
        <v>28677.576000000001</v>
      </c>
    </row>
    <row r="55" spans="2:3" x14ac:dyDescent="0.25">
      <c r="B55" s="73" t="s">
        <v>610</v>
      </c>
      <c r="C55" s="85">
        <v>1054729.4080000001</v>
      </c>
    </row>
    <row r="56" spans="2:3" x14ac:dyDescent="0.25">
      <c r="B56" s="73" t="s">
        <v>612</v>
      </c>
      <c r="C56" s="85">
        <v>196304.65605569593</v>
      </c>
    </row>
    <row r="57" spans="2:3" x14ac:dyDescent="0.25">
      <c r="B57" s="73" t="s">
        <v>614</v>
      </c>
      <c r="C57" s="85">
        <v>0</v>
      </c>
    </row>
    <row r="58" spans="2:3" x14ac:dyDescent="0.25">
      <c r="B58" s="72" t="s">
        <v>263</v>
      </c>
      <c r="C58" s="85">
        <v>762004.93599999999</v>
      </c>
    </row>
    <row r="59" spans="2:3" x14ac:dyDescent="0.25">
      <c r="B59" s="73" t="s">
        <v>458</v>
      </c>
      <c r="C59" s="85">
        <v>0</v>
      </c>
    </row>
    <row r="60" spans="2:3" x14ac:dyDescent="0.25">
      <c r="B60" s="73" t="s">
        <v>620</v>
      </c>
      <c r="C60" s="85">
        <v>0</v>
      </c>
    </row>
    <row r="61" spans="2:3" x14ac:dyDescent="0.25">
      <c r="B61" s="73" t="s">
        <v>625</v>
      </c>
      <c r="C61" s="85">
        <v>135000</v>
      </c>
    </row>
    <row r="62" spans="2:3" x14ac:dyDescent="0.25">
      <c r="B62" s="73" t="s">
        <v>621</v>
      </c>
      <c r="C62" s="85">
        <v>236402.128</v>
      </c>
    </row>
    <row r="63" spans="2:3" x14ac:dyDescent="0.25">
      <c r="B63" s="73" t="s">
        <v>810</v>
      </c>
      <c r="C63" s="85">
        <v>374886.06400000001</v>
      </c>
    </row>
    <row r="64" spans="2:3" x14ac:dyDescent="0.25">
      <c r="B64" s="73" t="s">
        <v>809</v>
      </c>
      <c r="C64" s="85">
        <v>15716.743999999999</v>
      </c>
    </row>
    <row r="65" spans="2:9" x14ac:dyDescent="0.25">
      <c r="B65" s="72" t="s">
        <v>264</v>
      </c>
      <c r="C65" s="85">
        <v>310771.22000000003</v>
      </c>
    </row>
    <row r="66" spans="2:9" x14ac:dyDescent="0.25">
      <c r="B66" s="73" t="s">
        <v>627</v>
      </c>
      <c r="C66" s="85">
        <v>95454.244000000006</v>
      </c>
    </row>
    <row r="67" spans="2:9" x14ac:dyDescent="0.25">
      <c r="B67" s="73" t="s">
        <v>459</v>
      </c>
      <c r="C67" s="85">
        <v>0</v>
      </c>
    </row>
    <row r="68" spans="2:9" x14ac:dyDescent="0.25">
      <c r="B68" s="73" t="s">
        <v>460</v>
      </c>
      <c r="C68" s="85">
        <v>0</v>
      </c>
    </row>
    <row r="69" spans="2:9" x14ac:dyDescent="0.25">
      <c r="B69" s="73" t="s">
        <v>626</v>
      </c>
      <c r="C69" s="85">
        <v>215316.97600000002</v>
      </c>
    </row>
    <row r="70" spans="2:9" x14ac:dyDescent="0.25">
      <c r="B70" s="72" t="s">
        <v>727</v>
      </c>
      <c r="C70" s="85">
        <v>128582114.46800001</v>
      </c>
    </row>
    <row r="71" spans="2:9" x14ac:dyDescent="0.25">
      <c r="B71" s="73" t="s">
        <v>634</v>
      </c>
      <c r="C71" s="85">
        <v>173465.98399999997</v>
      </c>
    </row>
    <row r="72" spans="2:9" x14ac:dyDescent="0.25">
      <c r="B72" s="73" t="s">
        <v>651</v>
      </c>
      <c r="C72" s="85">
        <v>0</v>
      </c>
    </row>
    <row r="73" spans="2:9" x14ac:dyDescent="0.25">
      <c r="B73" s="73" t="s">
        <v>669</v>
      </c>
      <c r="C73" s="85">
        <v>500000.00000000006</v>
      </c>
    </row>
    <row r="74" spans="2:9" x14ac:dyDescent="0.25">
      <c r="B74" s="73" t="s">
        <v>728</v>
      </c>
      <c r="C74" s="85">
        <v>0</v>
      </c>
    </row>
    <row r="75" spans="2:9" x14ac:dyDescent="0.25">
      <c r="B75" s="73" t="s">
        <v>633</v>
      </c>
      <c r="C75" s="85">
        <v>17640000</v>
      </c>
    </row>
    <row r="76" spans="2:9" x14ac:dyDescent="0.25">
      <c r="B76" s="73" t="s">
        <v>629</v>
      </c>
      <c r="C76" s="85">
        <v>4940000</v>
      </c>
    </row>
    <row r="77" spans="2:9" x14ac:dyDescent="0.25">
      <c r="B77" s="73" t="s">
        <v>631</v>
      </c>
      <c r="C77" s="85">
        <v>0</v>
      </c>
    </row>
    <row r="78" spans="2:9" x14ac:dyDescent="0.25">
      <c r="B78" s="73" t="s">
        <v>658</v>
      </c>
      <c r="C78" s="85">
        <v>69842.615999999995</v>
      </c>
    </row>
    <row r="79" spans="2:9" x14ac:dyDescent="0.25">
      <c r="B79" s="73" t="s">
        <v>657</v>
      </c>
      <c r="C79" s="85">
        <v>167832.73199999999</v>
      </c>
    </row>
    <row r="80" spans="2:9" x14ac:dyDescent="0.25">
      <c r="B80" s="73" t="s">
        <v>661</v>
      </c>
      <c r="C80" s="85">
        <v>39000</v>
      </c>
      <c r="E80" s="87" t="s">
        <v>725</v>
      </c>
      <c r="F80" s="87"/>
      <c r="G80" s="87"/>
      <c r="H80" s="87"/>
      <c r="I80" s="87"/>
    </row>
    <row r="81" spans="2:13" x14ac:dyDescent="0.25">
      <c r="B81" s="73" t="s">
        <v>656</v>
      </c>
      <c r="C81" s="85">
        <v>90207582.208000004</v>
      </c>
      <c r="E81" t="s">
        <v>699</v>
      </c>
      <c r="F81" t="s">
        <v>697</v>
      </c>
      <c r="G81" t="s">
        <v>701</v>
      </c>
      <c r="H81" t="s">
        <v>702</v>
      </c>
    </row>
    <row r="82" spans="2:13" x14ac:dyDescent="0.25">
      <c r="B82" s="73" t="s">
        <v>659</v>
      </c>
      <c r="C82" s="85">
        <v>11188809.072000004</v>
      </c>
      <c r="E82" s="65">
        <f>SUM('Method mix + objectives'!G7:N7)</f>
        <v>29351280.371571593</v>
      </c>
      <c r="F82" s="88">
        <f>(GETPIVOTDATA("Total cost",$E$4)-GETPIVOTDATA("Total cost",$E$4,"Category","FP commodities"))/E82</f>
        <v>13.049739638337504</v>
      </c>
      <c r="G82" s="89">
        <v>2</v>
      </c>
      <c r="H82" s="89">
        <f>49/10</f>
        <v>4.9000000000000004</v>
      </c>
      <c r="I82" s="7" t="s">
        <v>705</v>
      </c>
    </row>
    <row r="83" spans="2:13" x14ac:dyDescent="0.25">
      <c r="B83" s="73" t="s">
        <v>660</v>
      </c>
      <c r="C83" s="85">
        <v>0</v>
      </c>
      <c r="G83" s="88">
        <f>G82*5.4</f>
        <v>10.8</v>
      </c>
      <c r="H83" s="88">
        <f>H82*5.4</f>
        <v>26.460000000000004</v>
      </c>
      <c r="I83" s="7" t="s">
        <v>722</v>
      </c>
    </row>
    <row r="84" spans="2:13" x14ac:dyDescent="0.25">
      <c r="B84" s="73" t="s">
        <v>632</v>
      </c>
      <c r="C84" s="85">
        <v>51916.896000000001</v>
      </c>
      <c r="E84" t="s">
        <v>704</v>
      </c>
      <c r="F84" t="s">
        <v>698</v>
      </c>
    </row>
    <row r="85" spans="2:13" x14ac:dyDescent="0.25">
      <c r="B85" s="73" t="s">
        <v>650</v>
      </c>
      <c r="C85" s="85">
        <v>2802098.9759999998</v>
      </c>
      <c r="E85" s="65">
        <f>SUM('Method mix + objectives'!G77:N85)</f>
        <v>10783070.655653385</v>
      </c>
      <c r="F85" s="88">
        <f>GETPIVOTDATA("Total cost",$E$4,"Category","FP commodities")/E85</f>
        <v>19.292528436782188</v>
      </c>
      <c r="G85" s="89">
        <v>4.2</v>
      </c>
      <c r="H85" s="89">
        <f>11/(10*0.28)</f>
        <v>3.9285714285714284</v>
      </c>
      <c r="I85" s="7" t="s">
        <v>705</v>
      </c>
    </row>
    <row r="86" spans="2:13" x14ac:dyDescent="0.25">
      <c r="B86" s="73" t="s">
        <v>630</v>
      </c>
      <c r="C86" s="85">
        <v>66000</v>
      </c>
      <c r="G86" s="88">
        <f>G85*5.4</f>
        <v>22.680000000000003</v>
      </c>
      <c r="H86" s="88">
        <f>H85*5.4</f>
        <v>21.214285714285715</v>
      </c>
      <c r="I86" s="7" t="s">
        <v>722</v>
      </c>
    </row>
    <row r="87" spans="2:13" x14ac:dyDescent="0.25">
      <c r="B87" s="73" t="s">
        <v>756</v>
      </c>
      <c r="C87" s="85">
        <v>352100</v>
      </c>
      <c r="E87" t="s">
        <v>703</v>
      </c>
    </row>
    <row r="88" spans="2:13" x14ac:dyDescent="0.25">
      <c r="B88" s="73" t="s">
        <v>757</v>
      </c>
      <c r="C88" s="85">
        <v>43200</v>
      </c>
      <c r="E88" s="65">
        <f>SUM('Method mix + objectives'!N77:N85)-SUM('Method mix + objectives'!F77:F85)</f>
        <v>839001.50491811032</v>
      </c>
      <c r="F88" s="88">
        <f>GETPIVOTDATA("Total cost",$E$4)/E88</f>
        <v>704.47938495482128</v>
      </c>
      <c r="G88" s="89">
        <f>F88/5.4</f>
        <v>130.45914536200394</v>
      </c>
      <c r="H88" t="s">
        <v>723</v>
      </c>
    </row>
    <row r="89" spans="2:13" x14ac:dyDescent="0.25">
      <c r="B89" s="73" t="s">
        <v>755</v>
      </c>
      <c r="C89" s="85">
        <v>333865.984</v>
      </c>
      <c r="F89" s="88">
        <f>F88/7.5</f>
        <v>93.930584660642836</v>
      </c>
      <c r="G89" s="89">
        <f>F89/5.4</f>
        <v>17.394552714933859</v>
      </c>
      <c r="H89" t="s">
        <v>706</v>
      </c>
    </row>
    <row r="90" spans="2:13" x14ac:dyDescent="0.25">
      <c r="B90" s="73" t="s">
        <v>804</v>
      </c>
      <c r="C90" s="85">
        <v>6400</v>
      </c>
    </row>
    <row r="91" spans="2:13" x14ac:dyDescent="0.25">
      <c r="B91" s="72" t="s">
        <v>713</v>
      </c>
      <c r="C91" s="85">
        <v>208032697.26002449</v>
      </c>
      <c r="E91" s="74"/>
    </row>
    <row r="92" spans="2:13" x14ac:dyDescent="0.25">
      <c r="B92" s="73" t="s">
        <v>112</v>
      </c>
      <c r="C92" s="85">
        <v>11728041.204328522</v>
      </c>
      <c r="E92" s="86"/>
    </row>
    <row r="93" spans="2:13" x14ac:dyDescent="0.25">
      <c r="B93" s="73" t="s">
        <v>714</v>
      </c>
      <c r="C93" s="85">
        <v>196304656.05569595</v>
      </c>
      <c r="E93" s="86"/>
    </row>
    <row r="94" spans="2:13" x14ac:dyDescent="0.25">
      <c r="B94" s="72" t="s">
        <v>511</v>
      </c>
      <c r="C94" s="85">
        <v>591059264.16088033</v>
      </c>
    </row>
    <row r="96" spans="2:13" x14ac:dyDescent="0.25">
      <c r="B96" s="87" t="s">
        <v>724</v>
      </c>
      <c r="C96" s="87"/>
      <c r="D96" s="87"/>
      <c r="E96" s="87"/>
      <c r="F96" s="87"/>
      <c r="G96" s="87"/>
      <c r="H96" s="87"/>
      <c r="I96" s="87"/>
      <c r="J96" s="87"/>
      <c r="K96" s="87"/>
      <c r="L96" s="87"/>
      <c r="M96" s="87"/>
    </row>
    <row r="97" spans="2:16" x14ac:dyDescent="0.25">
      <c r="B97" s="71" t="s">
        <v>510</v>
      </c>
      <c r="C97" t="s">
        <v>687</v>
      </c>
      <c r="D97" t="s">
        <v>688</v>
      </c>
      <c r="E97" t="s">
        <v>689</v>
      </c>
      <c r="F97" t="s">
        <v>690</v>
      </c>
      <c r="G97" t="s">
        <v>691</v>
      </c>
      <c r="H97" t="s">
        <v>692</v>
      </c>
      <c r="I97" t="s">
        <v>693</v>
      </c>
      <c r="J97" t="s">
        <v>694</v>
      </c>
      <c r="K97" t="s">
        <v>695</v>
      </c>
      <c r="L97" t="s">
        <v>696</v>
      </c>
      <c r="M97" t="s">
        <v>512</v>
      </c>
    </row>
    <row r="98" spans="2:16" x14ac:dyDescent="0.25">
      <c r="B98" s="72" t="s">
        <v>147</v>
      </c>
      <c r="C98" s="85">
        <v>2982039.9279999998</v>
      </c>
      <c r="D98" s="85">
        <v>15684228.024000004</v>
      </c>
      <c r="E98" s="85">
        <v>5298270.4479999952</v>
      </c>
      <c r="F98" s="85">
        <v>5423250.071999995</v>
      </c>
      <c r="G98" s="85">
        <v>15280859.375999998</v>
      </c>
      <c r="H98" s="85">
        <v>4923579.3759999983</v>
      </c>
      <c r="I98" s="85">
        <v>5048558.9999999981</v>
      </c>
      <c r="J98" s="85">
        <v>15280859.375999998</v>
      </c>
      <c r="K98" s="85">
        <v>0</v>
      </c>
      <c r="L98" s="85">
        <v>0</v>
      </c>
      <c r="M98" s="85">
        <v>69921645.59999992</v>
      </c>
    </row>
    <row r="99" spans="2:16" x14ac:dyDescent="0.25">
      <c r="B99" s="72" t="s">
        <v>195</v>
      </c>
      <c r="C99" s="85">
        <v>6488949.4520000014</v>
      </c>
      <c r="D99" s="85">
        <v>34858580.406199992</v>
      </c>
      <c r="E99" s="85">
        <v>23609638.546000004</v>
      </c>
      <c r="F99" s="85">
        <v>21732201.346000005</v>
      </c>
      <c r="G99" s="85">
        <v>22927972.766500004</v>
      </c>
      <c r="H99" s="85">
        <v>20978406.992000002</v>
      </c>
      <c r="I99" s="85">
        <v>20044643.628000006</v>
      </c>
      <c r="J99" s="85">
        <v>23127377.554500006</v>
      </c>
      <c r="K99" s="85">
        <v>0</v>
      </c>
      <c r="L99" s="85">
        <v>0</v>
      </c>
      <c r="M99" s="85">
        <v>173767770.6911999</v>
      </c>
    </row>
    <row r="100" spans="2:16" x14ac:dyDescent="0.25">
      <c r="B100" s="72" t="s">
        <v>262</v>
      </c>
      <c r="C100" s="85">
        <v>1276965.3547544612</v>
      </c>
      <c r="D100" s="85">
        <v>1307235.0289427168</v>
      </c>
      <c r="E100" s="85">
        <v>1280218.3846636405</v>
      </c>
      <c r="F100" s="85">
        <v>1159802.4720107592</v>
      </c>
      <c r="G100" s="85">
        <v>1161608.1007118414</v>
      </c>
      <c r="H100" s="85">
        <v>1163489.7213598462</v>
      </c>
      <c r="I100" s="85">
        <v>1165449.8506426571</v>
      </c>
      <c r="J100" s="85">
        <v>1167491.0725697738</v>
      </c>
      <c r="K100" s="85">
        <v>0</v>
      </c>
      <c r="L100" s="85">
        <v>0</v>
      </c>
      <c r="M100" s="85">
        <v>9682259.9856556989</v>
      </c>
    </row>
    <row r="101" spans="2:16" x14ac:dyDescent="0.25">
      <c r="B101" s="72" t="s">
        <v>263</v>
      </c>
      <c r="C101" s="85">
        <v>118201.064</v>
      </c>
      <c r="D101" s="85">
        <v>114271.89600000001</v>
      </c>
      <c r="E101" s="85">
        <v>53555.152000000002</v>
      </c>
      <c r="F101" s="85">
        <v>98555.152000000002</v>
      </c>
      <c r="G101" s="85">
        <v>53555.152000000002</v>
      </c>
      <c r="H101" s="85">
        <v>216756.21600000001</v>
      </c>
      <c r="I101" s="85">
        <v>53555.152000000002</v>
      </c>
      <c r="J101" s="85">
        <v>53555.152000000002</v>
      </c>
      <c r="K101" s="85">
        <v>0</v>
      </c>
      <c r="L101" s="85">
        <v>0</v>
      </c>
      <c r="M101" s="85">
        <v>762004.93599999999</v>
      </c>
    </row>
    <row r="102" spans="2:16" x14ac:dyDescent="0.25">
      <c r="B102" s="72" t="s">
        <v>264</v>
      </c>
      <c r="C102" s="85">
        <v>95454.244000000006</v>
      </c>
      <c r="D102" s="85">
        <v>53829.244000000006</v>
      </c>
      <c r="E102" s="85">
        <v>0</v>
      </c>
      <c r="F102" s="85">
        <v>53829.244000000006</v>
      </c>
      <c r="G102" s="85">
        <v>0</v>
      </c>
      <c r="H102" s="85">
        <v>53829.244000000006</v>
      </c>
      <c r="I102" s="85">
        <v>0</v>
      </c>
      <c r="J102" s="85">
        <v>53829.244000000006</v>
      </c>
      <c r="K102" s="85">
        <v>0</v>
      </c>
      <c r="L102" s="85">
        <v>0</v>
      </c>
      <c r="M102" s="85">
        <v>310771.22000000003</v>
      </c>
    </row>
    <row r="103" spans="2:16" x14ac:dyDescent="0.25">
      <c r="B103" s="72" t="s">
        <v>727</v>
      </c>
      <c r="C103" s="85">
        <v>12679380.656000001</v>
      </c>
      <c r="D103" s="85">
        <v>19172866.783999991</v>
      </c>
      <c r="E103" s="85">
        <v>15356530.768000003</v>
      </c>
      <c r="F103" s="85">
        <v>19586133.792000011</v>
      </c>
      <c r="G103" s="85">
        <v>14720263.500000004</v>
      </c>
      <c r="H103" s="85">
        <v>18152100.800000004</v>
      </c>
      <c r="I103" s="85">
        <v>14492340.392000001</v>
      </c>
      <c r="J103" s="85">
        <v>14422497.776000001</v>
      </c>
      <c r="K103" s="85">
        <v>0</v>
      </c>
      <c r="L103" s="85">
        <v>0</v>
      </c>
      <c r="M103" s="85">
        <v>128582114.46799986</v>
      </c>
      <c r="N103" s="85"/>
      <c r="P103" s="74"/>
    </row>
    <row r="104" spans="2:16" x14ac:dyDescent="0.25">
      <c r="B104" s="72" t="s">
        <v>713</v>
      </c>
      <c r="C104" s="85">
        <v>19331547.532440335</v>
      </c>
      <c r="D104" s="85">
        <v>21062874.075551223</v>
      </c>
      <c r="E104" s="85">
        <v>22877497.424730569</v>
      </c>
      <c r="F104" s="85">
        <v>24778728.894370083</v>
      </c>
      <c r="G104" s="85">
        <v>26769998.529362939</v>
      </c>
      <c r="H104" s="85">
        <v>28854859.060343936</v>
      </c>
      <c r="I104" s="85">
        <v>31036989.982397661</v>
      </c>
      <c r="J104" s="85">
        <v>33320201.76082772</v>
      </c>
      <c r="K104" s="85">
        <v>0</v>
      </c>
      <c r="L104" s="85">
        <v>0</v>
      </c>
      <c r="M104" s="85">
        <v>208032697.26002449</v>
      </c>
    </row>
    <row r="105" spans="2:16" x14ac:dyDescent="0.25">
      <c r="B105" s="72" t="s">
        <v>511</v>
      </c>
      <c r="C105" s="85">
        <v>42972538.231194794</v>
      </c>
      <c r="D105" s="85">
        <v>92253885.458693936</v>
      </c>
      <c r="E105" s="85">
        <v>68475710.723394215</v>
      </c>
      <c r="F105" s="85">
        <v>72832500.972380847</v>
      </c>
      <c r="G105" s="85">
        <v>80914257.424574792</v>
      </c>
      <c r="H105" s="85">
        <v>74343021.409703791</v>
      </c>
      <c r="I105" s="85">
        <v>71841538.005040318</v>
      </c>
      <c r="J105" s="85">
        <v>87425811.935897499</v>
      </c>
      <c r="K105" s="85">
        <v>0</v>
      </c>
      <c r="L105" s="85">
        <v>0</v>
      </c>
      <c r="M105" s="85">
        <v>591059264.16087985</v>
      </c>
      <c r="P105" s="74"/>
    </row>
    <row r="106" spans="2:16" x14ac:dyDescent="0.25">
      <c r="B106" s="72" t="s">
        <v>796</v>
      </c>
      <c r="C106" s="85">
        <f>C105/5.4</f>
        <v>7957877.4502212573</v>
      </c>
      <c r="D106" s="85">
        <f t="shared" ref="D106:M106" si="1">D105/5.4</f>
        <v>17084052.862721097</v>
      </c>
      <c r="E106" s="85">
        <f t="shared" si="1"/>
        <v>12680687.170998927</v>
      </c>
      <c r="F106" s="85">
        <f t="shared" si="1"/>
        <v>13487500.180070527</v>
      </c>
      <c r="G106" s="85">
        <f t="shared" si="1"/>
        <v>14984121.745291628</v>
      </c>
      <c r="H106" s="85">
        <f t="shared" si="1"/>
        <v>13767226.186982183</v>
      </c>
      <c r="I106" s="85">
        <f t="shared" si="1"/>
        <v>13303988.519451911</v>
      </c>
      <c r="J106" s="85">
        <f t="shared" si="1"/>
        <v>16189965.173314352</v>
      </c>
      <c r="K106" s="85">
        <f t="shared" si="1"/>
        <v>0</v>
      </c>
      <c r="L106" s="85">
        <f t="shared" si="1"/>
        <v>0</v>
      </c>
      <c r="M106" s="85">
        <f t="shared" si="1"/>
        <v>109455419.28905182</v>
      </c>
      <c r="P106" s="74"/>
    </row>
    <row r="107" spans="2:16" x14ac:dyDescent="0.25">
      <c r="B107" s="72"/>
      <c r="C107" s="85"/>
      <c r="D107" s="85"/>
      <c r="E107" s="85"/>
      <c r="F107" s="85"/>
      <c r="G107" s="85"/>
      <c r="H107" s="85"/>
      <c r="I107" s="85"/>
      <c r="J107" s="85"/>
      <c r="K107" s="85"/>
      <c r="L107" s="85"/>
      <c r="M107" s="85"/>
      <c r="P107" s="74"/>
    </row>
    <row r="108" spans="2:16" x14ac:dyDescent="0.25">
      <c r="P108" s="74"/>
    </row>
    <row r="109" spans="2:16" x14ac:dyDescent="0.25">
      <c r="B109" s="97" t="s">
        <v>821</v>
      </c>
      <c r="C109" s="98">
        <v>2013</v>
      </c>
      <c r="D109" s="98">
        <v>2014</v>
      </c>
      <c r="E109" s="98">
        <v>2015</v>
      </c>
      <c r="F109" s="98">
        <v>2016</v>
      </c>
      <c r="G109" s="98">
        <v>2017</v>
      </c>
      <c r="H109" s="98">
        <v>2018</v>
      </c>
      <c r="I109" s="98">
        <v>2019</v>
      </c>
      <c r="J109" s="98">
        <v>2020</v>
      </c>
      <c r="K109" s="96"/>
      <c r="P109" s="74"/>
    </row>
    <row r="110" spans="2:16" x14ac:dyDescent="0.25">
      <c r="B110" s="103" t="s">
        <v>833</v>
      </c>
      <c r="C110" s="104">
        <v>41802365.85594622</v>
      </c>
      <c r="D110" s="105">
        <v>89618582.081746936</v>
      </c>
      <c r="E110" s="105">
        <v>67469772.642608732</v>
      </c>
      <c r="F110" s="105">
        <v>72184046.773816392</v>
      </c>
      <c r="G110" s="105">
        <v>88866456.269956052</v>
      </c>
      <c r="H110" s="105">
        <v>74280753.831769317</v>
      </c>
      <c r="I110" s="105">
        <v>72864806.122718155</v>
      </c>
      <c r="J110" s="105">
        <v>97016460.688327178</v>
      </c>
      <c r="P110" s="74"/>
    </row>
    <row r="111" spans="2:16" x14ac:dyDescent="0.25">
      <c r="B111" s="72" t="s">
        <v>837</v>
      </c>
      <c r="P111" s="74"/>
    </row>
    <row r="112" spans="2:16" x14ac:dyDescent="0.25">
      <c r="B112" s="72" t="s">
        <v>823</v>
      </c>
      <c r="P112" s="74"/>
    </row>
    <row r="113" spans="2:17" x14ac:dyDescent="0.25">
      <c r="B113" s="72" t="s">
        <v>822</v>
      </c>
      <c r="P113" s="74"/>
    </row>
    <row r="114" spans="2:17" x14ac:dyDescent="0.25">
      <c r="B114" s="72" t="s">
        <v>839</v>
      </c>
      <c r="P114" s="74"/>
    </row>
    <row r="115" spans="2:17" x14ac:dyDescent="0.25">
      <c r="B115" s="101" t="s">
        <v>834</v>
      </c>
      <c r="C115" s="102">
        <f>SUM(C112:C114)</f>
        <v>0</v>
      </c>
      <c r="D115" s="102">
        <f t="shared" ref="D115:J115" si="2">SUM(D112:D114)</f>
        <v>0</v>
      </c>
      <c r="E115" s="102">
        <f t="shared" si="2"/>
        <v>0</v>
      </c>
      <c r="F115" s="102">
        <f t="shared" si="2"/>
        <v>0</v>
      </c>
      <c r="G115" s="102">
        <f t="shared" si="2"/>
        <v>0</v>
      </c>
      <c r="H115" s="102">
        <f t="shared" si="2"/>
        <v>0</v>
      </c>
      <c r="I115" s="102">
        <f t="shared" si="2"/>
        <v>0</v>
      </c>
      <c r="J115" s="102">
        <f t="shared" si="2"/>
        <v>0</v>
      </c>
      <c r="P115" s="74"/>
    </row>
    <row r="116" spans="2:17" x14ac:dyDescent="0.25">
      <c r="B116" s="72" t="s">
        <v>838</v>
      </c>
      <c r="P116" s="74"/>
    </row>
    <row r="117" spans="2:17" x14ac:dyDescent="0.25">
      <c r="B117" s="72" t="s">
        <v>824</v>
      </c>
    </row>
    <row r="118" spans="2:17" x14ac:dyDescent="0.25">
      <c r="B118" s="72" t="s">
        <v>826</v>
      </c>
      <c r="P118" s="74"/>
      <c r="Q118" s="74"/>
    </row>
    <row r="119" spans="2:17" x14ac:dyDescent="0.25">
      <c r="B119" s="72" t="s">
        <v>827</v>
      </c>
    </row>
    <row r="120" spans="2:17" x14ac:dyDescent="0.25">
      <c r="B120" s="72" t="s">
        <v>825</v>
      </c>
    </row>
    <row r="121" spans="2:17" x14ac:dyDescent="0.25">
      <c r="B121" s="72" t="s">
        <v>828</v>
      </c>
      <c r="P121" s="74"/>
    </row>
    <row r="122" spans="2:17" x14ac:dyDescent="0.25">
      <c r="B122" s="72" t="s">
        <v>829</v>
      </c>
    </row>
    <row r="123" spans="2:17" x14ac:dyDescent="0.25">
      <c r="B123" s="72" t="s">
        <v>830</v>
      </c>
      <c r="P123" s="74"/>
    </row>
    <row r="124" spans="2:17" x14ac:dyDescent="0.25">
      <c r="B124" s="72" t="s">
        <v>831</v>
      </c>
    </row>
    <row r="125" spans="2:17" x14ac:dyDescent="0.25">
      <c r="B125" s="72" t="s">
        <v>832</v>
      </c>
      <c r="P125" s="74"/>
      <c r="Q125" s="85"/>
    </row>
    <row r="126" spans="2:17" x14ac:dyDescent="0.25">
      <c r="B126" s="101" t="s">
        <v>835</v>
      </c>
      <c r="C126" s="102">
        <f>SUM(C117:C125)</f>
        <v>0</v>
      </c>
      <c r="D126" s="102">
        <f t="shared" ref="D126:J126" si="3">SUM(D117:D125)</f>
        <v>0</v>
      </c>
      <c r="E126" s="102">
        <f t="shared" si="3"/>
        <v>0</v>
      </c>
      <c r="F126" s="102">
        <f t="shared" si="3"/>
        <v>0</v>
      </c>
      <c r="G126" s="102">
        <f t="shared" si="3"/>
        <v>0</v>
      </c>
      <c r="H126" s="102">
        <f t="shared" si="3"/>
        <v>0</v>
      </c>
      <c r="I126" s="102">
        <f t="shared" si="3"/>
        <v>0</v>
      </c>
      <c r="J126" s="102">
        <f t="shared" si="3"/>
        <v>0</v>
      </c>
    </row>
    <row r="127" spans="2:17" x14ac:dyDescent="0.25">
      <c r="B127" s="99" t="s">
        <v>836</v>
      </c>
      <c r="C127" s="100">
        <f t="shared" ref="C127:J127" si="4">C110-(C115+C126)</f>
        <v>41802365.85594622</v>
      </c>
      <c r="D127" s="100">
        <f t="shared" si="4"/>
        <v>89618582.081746936</v>
      </c>
      <c r="E127" s="100">
        <f t="shared" si="4"/>
        <v>67469772.642608732</v>
      </c>
      <c r="F127" s="100">
        <f t="shared" si="4"/>
        <v>72184046.773816392</v>
      </c>
      <c r="G127" s="100">
        <f t="shared" si="4"/>
        <v>88866456.269956052</v>
      </c>
      <c r="H127" s="100">
        <f t="shared" si="4"/>
        <v>74280753.831769317</v>
      </c>
      <c r="I127" s="100">
        <f t="shared" si="4"/>
        <v>72864806.122718155</v>
      </c>
      <c r="J127" s="100">
        <f t="shared" si="4"/>
        <v>97016460.688327178</v>
      </c>
    </row>
    <row r="128" spans="2:17" x14ac:dyDescent="0.25">
      <c r="P128" s="74"/>
    </row>
    <row r="130" spans="16:17" x14ac:dyDescent="0.25">
      <c r="P130" s="74"/>
      <c r="Q130" s="85"/>
    </row>
  </sheetData>
  <sheetProtection password="F24F" sheet="1" objects="1" scenarios="1"/>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Costing inputs</vt:lpstr>
      <vt:lpstr>Regional splits</vt:lpstr>
      <vt:lpstr>Distances matrix</vt:lpstr>
      <vt:lpstr>Method mix + objectives</vt:lpstr>
      <vt:lpstr>Priority activities</vt:lpstr>
      <vt:lpstr>Database for analysis</vt:lpstr>
      <vt:lpstr>Cost summaries (outputs)</vt:lpstr>
      <vt:lpstr>Cost_splits</vt:lpstr>
      <vt:lpstr>Meeting_level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Maya Kaczorowski</dc:creator>
  <cp:lastModifiedBy>Nichole Zlatunich</cp:lastModifiedBy>
  <dcterms:created xsi:type="dcterms:W3CDTF">2013-07-05T13:07:32Z</dcterms:created>
  <dcterms:modified xsi:type="dcterms:W3CDTF">2015-12-18T20:59:51Z</dcterms:modified>
</cp:coreProperties>
</file>